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MyWebsite\Stima\2022-2023\"/>
    </mc:Choice>
  </mc:AlternateContent>
  <xr:revisionPtr revIDLastSave="0" documentId="8_{F15E219B-8081-42FB-81BC-49D34B4828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kap" sheetId="1" r:id="rId1"/>
    <sheet name="UTS" sheetId="2" r:id="rId2"/>
    <sheet name="UAS" sheetId="3" r:id="rId3"/>
    <sheet name="Rekap_Tugas" sheetId="4" r:id="rId4"/>
  </sheets>
  <calcPr calcId="181029"/>
</workbook>
</file>

<file path=xl/calcChain.xml><?xml version="1.0" encoding="utf-8"?>
<calcChain xmlns="http://schemas.openxmlformats.org/spreadsheetml/2006/main">
  <c r="I161" i="4" l="1"/>
  <c r="H161" i="4"/>
  <c r="G161" i="4"/>
  <c r="F161" i="4"/>
  <c r="E161" i="4"/>
  <c r="D161" i="4"/>
  <c r="C161" i="4"/>
  <c r="B161" i="4"/>
  <c r="A161" i="4"/>
  <c r="I160" i="4"/>
  <c r="H160" i="4"/>
  <c r="G160" i="4"/>
  <c r="F160" i="4"/>
  <c r="E160" i="4"/>
  <c r="D160" i="4"/>
  <c r="C160" i="4"/>
  <c r="B160" i="4"/>
  <c r="A160" i="4"/>
  <c r="I159" i="4"/>
  <c r="H159" i="4"/>
  <c r="G159" i="4"/>
  <c r="F159" i="4"/>
  <c r="E159" i="4"/>
  <c r="D159" i="4"/>
  <c r="C159" i="4"/>
  <c r="B159" i="4"/>
  <c r="A159" i="4"/>
  <c r="I158" i="4"/>
  <c r="H158" i="4"/>
  <c r="G158" i="4"/>
  <c r="F158" i="4"/>
  <c r="E158" i="4"/>
  <c r="D158" i="4"/>
  <c r="C158" i="4"/>
  <c r="B158" i="4"/>
  <c r="A158" i="4"/>
  <c r="I157" i="4"/>
  <c r="H157" i="4"/>
  <c r="G157" i="4"/>
  <c r="F157" i="4"/>
  <c r="E157" i="4"/>
  <c r="D157" i="4"/>
  <c r="C157" i="4"/>
  <c r="B157" i="4"/>
  <c r="A157" i="4"/>
  <c r="I156" i="4"/>
  <c r="H156" i="4"/>
  <c r="G156" i="4"/>
  <c r="F156" i="4"/>
  <c r="E156" i="4"/>
  <c r="D156" i="4"/>
  <c r="C156" i="4"/>
  <c r="B156" i="4"/>
  <c r="A156" i="4"/>
  <c r="I155" i="4"/>
  <c r="H155" i="4"/>
  <c r="G155" i="4"/>
  <c r="F155" i="4"/>
  <c r="E155" i="4"/>
  <c r="D155" i="4"/>
  <c r="C155" i="4"/>
  <c r="B155" i="4"/>
  <c r="A155" i="4"/>
  <c r="I154" i="4"/>
  <c r="H154" i="4"/>
  <c r="G154" i="4"/>
  <c r="F154" i="4"/>
  <c r="E154" i="4"/>
  <c r="D154" i="4"/>
  <c r="C154" i="4"/>
  <c r="B154" i="4"/>
  <c r="A154" i="4"/>
  <c r="I153" i="4"/>
  <c r="H153" i="4"/>
  <c r="G153" i="4"/>
  <c r="F153" i="4"/>
  <c r="E153" i="4"/>
  <c r="D153" i="4"/>
  <c r="C153" i="4"/>
  <c r="B153" i="4"/>
  <c r="A153" i="4"/>
  <c r="I152" i="4"/>
  <c r="H152" i="4"/>
  <c r="G152" i="4"/>
  <c r="F152" i="4"/>
  <c r="E152" i="4"/>
  <c r="D152" i="4"/>
  <c r="C152" i="4"/>
  <c r="B152" i="4"/>
  <c r="A152" i="4"/>
  <c r="I151" i="4"/>
  <c r="H151" i="4"/>
  <c r="G151" i="4"/>
  <c r="F151" i="4"/>
  <c r="E151" i="4"/>
  <c r="D151" i="4"/>
  <c r="C151" i="4"/>
  <c r="B151" i="4"/>
  <c r="A151" i="4"/>
  <c r="I150" i="4"/>
  <c r="H150" i="4"/>
  <c r="G150" i="4"/>
  <c r="F150" i="4"/>
  <c r="E150" i="4"/>
  <c r="D150" i="4"/>
  <c r="C150" i="4"/>
  <c r="B150" i="4"/>
  <c r="A150" i="4"/>
  <c r="I149" i="4"/>
  <c r="H149" i="4"/>
  <c r="G149" i="4"/>
  <c r="F149" i="4"/>
  <c r="E149" i="4"/>
  <c r="D149" i="4"/>
  <c r="C149" i="4"/>
  <c r="B149" i="4"/>
  <c r="A149" i="4"/>
  <c r="I148" i="4"/>
  <c r="H148" i="4"/>
  <c r="G148" i="4"/>
  <c r="F148" i="4"/>
  <c r="E148" i="4"/>
  <c r="D148" i="4"/>
  <c r="C148" i="4"/>
  <c r="B148" i="4"/>
  <c r="A148" i="4"/>
  <c r="I147" i="4"/>
  <c r="H147" i="4"/>
  <c r="G147" i="4"/>
  <c r="F147" i="4"/>
  <c r="E147" i="4"/>
  <c r="D147" i="4"/>
  <c r="C147" i="4"/>
  <c r="B147" i="4"/>
  <c r="A147" i="4"/>
  <c r="I146" i="4"/>
  <c r="H146" i="4"/>
  <c r="G146" i="4"/>
  <c r="F146" i="4"/>
  <c r="E146" i="4"/>
  <c r="D146" i="4"/>
  <c r="C146" i="4"/>
  <c r="B146" i="4"/>
  <c r="A146" i="4"/>
  <c r="I145" i="4"/>
  <c r="H145" i="4"/>
  <c r="G145" i="4"/>
  <c r="F145" i="4"/>
  <c r="E145" i="4"/>
  <c r="D145" i="4"/>
  <c r="C145" i="4"/>
  <c r="B145" i="4"/>
  <c r="A145" i="4"/>
  <c r="I144" i="4"/>
  <c r="H144" i="4"/>
  <c r="G144" i="4"/>
  <c r="F144" i="4"/>
  <c r="E144" i="4"/>
  <c r="D144" i="4"/>
  <c r="C144" i="4"/>
  <c r="B144" i="4"/>
  <c r="A144" i="4"/>
  <c r="I143" i="4"/>
  <c r="H143" i="4"/>
  <c r="G143" i="4"/>
  <c r="F143" i="4"/>
  <c r="E143" i="4"/>
  <c r="D143" i="4"/>
  <c r="C143" i="4"/>
  <c r="B143" i="4"/>
  <c r="A143" i="4"/>
  <c r="I142" i="4"/>
  <c r="H142" i="4"/>
  <c r="G142" i="4"/>
  <c r="F142" i="4"/>
  <c r="E142" i="4"/>
  <c r="D142" i="4"/>
  <c r="C142" i="4"/>
  <c r="B142" i="4"/>
  <c r="A142" i="4"/>
  <c r="I141" i="4"/>
  <c r="H141" i="4"/>
  <c r="G141" i="4"/>
  <c r="F141" i="4"/>
  <c r="E141" i="4"/>
  <c r="D141" i="4"/>
  <c r="C141" i="4"/>
  <c r="B141" i="4"/>
  <c r="A141" i="4"/>
  <c r="I140" i="4"/>
  <c r="H140" i="4"/>
  <c r="G140" i="4"/>
  <c r="F140" i="4"/>
  <c r="E140" i="4"/>
  <c r="D140" i="4"/>
  <c r="C140" i="4"/>
  <c r="B140" i="4"/>
  <c r="A140" i="4"/>
  <c r="I139" i="4"/>
  <c r="H139" i="4"/>
  <c r="G139" i="4"/>
  <c r="F139" i="4"/>
  <c r="E139" i="4"/>
  <c r="D139" i="4"/>
  <c r="C139" i="4"/>
  <c r="B139" i="4"/>
  <c r="A139" i="4"/>
  <c r="I138" i="4"/>
  <c r="H138" i="4"/>
  <c r="G138" i="4"/>
  <c r="F138" i="4"/>
  <c r="E138" i="4"/>
  <c r="D138" i="4"/>
  <c r="C138" i="4"/>
  <c r="B138" i="4"/>
  <c r="A138" i="4"/>
  <c r="I137" i="4"/>
  <c r="H137" i="4"/>
  <c r="G137" i="4"/>
  <c r="F137" i="4"/>
  <c r="E137" i="4"/>
  <c r="D137" i="4"/>
  <c r="C137" i="4"/>
  <c r="B137" i="4"/>
  <c r="A137" i="4"/>
  <c r="I136" i="4"/>
  <c r="H136" i="4"/>
  <c r="G136" i="4"/>
  <c r="F136" i="4"/>
  <c r="E136" i="4"/>
  <c r="D136" i="4"/>
  <c r="C136" i="4"/>
  <c r="B136" i="4"/>
  <c r="A136" i="4"/>
  <c r="I135" i="4"/>
  <c r="H135" i="4"/>
  <c r="G135" i="4"/>
  <c r="F135" i="4"/>
  <c r="E135" i="4"/>
  <c r="D135" i="4"/>
  <c r="C135" i="4"/>
  <c r="B135" i="4"/>
  <c r="A135" i="4"/>
  <c r="I134" i="4"/>
  <c r="H134" i="4"/>
  <c r="G134" i="4"/>
  <c r="F134" i="4"/>
  <c r="E134" i="4"/>
  <c r="D134" i="4"/>
  <c r="C134" i="4"/>
  <c r="B134" i="4"/>
  <c r="A134" i="4"/>
  <c r="I133" i="4"/>
  <c r="H133" i="4"/>
  <c r="G133" i="4"/>
  <c r="F133" i="4"/>
  <c r="E133" i="4"/>
  <c r="D133" i="4"/>
  <c r="C133" i="4"/>
  <c r="B133" i="4"/>
  <c r="A133" i="4"/>
  <c r="I132" i="4"/>
  <c r="H132" i="4"/>
  <c r="G132" i="4"/>
  <c r="F132" i="4"/>
  <c r="E132" i="4"/>
  <c r="D132" i="4"/>
  <c r="C132" i="4"/>
  <c r="B132" i="4"/>
  <c r="A132" i="4"/>
  <c r="I131" i="4"/>
  <c r="H131" i="4"/>
  <c r="G131" i="4"/>
  <c r="F131" i="4"/>
  <c r="E131" i="4"/>
  <c r="D131" i="4"/>
  <c r="C131" i="4"/>
  <c r="B131" i="4"/>
  <c r="A131" i="4"/>
  <c r="I130" i="4"/>
  <c r="H130" i="4"/>
  <c r="G130" i="4"/>
  <c r="F130" i="4"/>
  <c r="E130" i="4"/>
  <c r="D130" i="4"/>
  <c r="C130" i="4"/>
  <c r="B130" i="4"/>
  <c r="A130" i="4"/>
  <c r="I129" i="4"/>
  <c r="H129" i="4"/>
  <c r="G129" i="4"/>
  <c r="F129" i="4"/>
  <c r="E129" i="4"/>
  <c r="D129" i="4"/>
  <c r="C129" i="4"/>
  <c r="B129" i="4"/>
  <c r="A129" i="4"/>
  <c r="I128" i="4"/>
  <c r="H128" i="4"/>
  <c r="G128" i="4"/>
  <c r="F128" i="4"/>
  <c r="E128" i="4"/>
  <c r="D128" i="4"/>
  <c r="C128" i="4"/>
  <c r="B128" i="4"/>
  <c r="A128" i="4"/>
  <c r="I127" i="4"/>
  <c r="H127" i="4"/>
  <c r="G127" i="4"/>
  <c r="F127" i="4"/>
  <c r="E127" i="4"/>
  <c r="D127" i="4"/>
  <c r="C127" i="4"/>
  <c r="B127" i="4"/>
  <c r="A127" i="4"/>
  <c r="I126" i="4"/>
  <c r="H126" i="4"/>
  <c r="G126" i="4"/>
  <c r="F126" i="4"/>
  <c r="E126" i="4"/>
  <c r="D126" i="4"/>
  <c r="C126" i="4"/>
  <c r="B126" i="4"/>
  <c r="A126" i="4"/>
  <c r="I125" i="4"/>
  <c r="H125" i="4"/>
  <c r="G125" i="4"/>
  <c r="F125" i="4"/>
  <c r="E125" i="4"/>
  <c r="D125" i="4"/>
  <c r="C125" i="4"/>
  <c r="B125" i="4"/>
  <c r="A125" i="4"/>
  <c r="I124" i="4"/>
  <c r="H124" i="4"/>
  <c r="G124" i="4"/>
  <c r="F124" i="4"/>
  <c r="E124" i="4"/>
  <c r="D124" i="4"/>
  <c r="C124" i="4"/>
  <c r="B124" i="4"/>
  <c r="A124" i="4"/>
  <c r="I123" i="4"/>
  <c r="H123" i="4"/>
  <c r="G123" i="4"/>
  <c r="F123" i="4"/>
  <c r="E123" i="4"/>
  <c r="D123" i="4"/>
  <c r="C123" i="4"/>
  <c r="B123" i="4"/>
  <c r="A123" i="4"/>
  <c r="I122" i="4"/>
  <c r="H122" i="4"/>
  <c r="G122" i="4"/>
  <c r="F122" i="4"/>
  <c r="E122" i="4"/>
  <c r="D122" i="4"/>
  <c r="C122" i="4"/>
  <c r="B122" i="4"/>
  <c r="A122" i="4"/>
  <c r="I121" i="4"/>
  <c r="H121" i="4"/>
  <c r="G121" i="4"/>
  <c r="F121" i="4"/>
  <c r="E121" i="4"/>
  <c r="D121" i="4"/>
  <c r="C121" i="4"/>
  <c r="B121" i="4"/>
  <c r="A121" i="4"/>
  <c r="I120" i="4"/>
  <c r="H120" i="4"/>
  <c r="G120" i="4"/>
  <c r="F120" i="4"/>
  <c r="E120" i="4"/>
  <c r="D120" i="4"/>
  <c r="C120" i="4"/>
  <c r="B120" i="4"/>
  <c r="A120" i="4"/>
  <c r="I119" i="4"/>
  <c r="H119" i="4"/>
  <c r="G119" i="4"/>
  <c r="F119" i="4"/>
  <c r="E119" i="4"/>
  <c r="D119" i="4"/>
  <c r="C119" i="4"/>
  <c r="B119" i="4"/>
  <c r="A119" i="4"/>
  <c r="I118" i="4"/>
  <c r="H118" i="4"/>
  <c r="G118" i="4"/>
  <c r="F118" i="4"/>
  <c r="E118" i="4"/>
  <c r="D118" i="4"/>
  <c r="C118" i="4"/>
  <c r="B118" i="4"/>
  <c r="A118" i="4"/>
  <c r="I117" i="4"/>
  <c r="H117" i="4"/>
  <c r="G117" i="4"/>
  <c r="F117" i="4"/>
  <c r="E117" i="4"/>
  <c r="D117" i="4"/>
  <c r="C117" i="4"/>
  <c r="B117" i="4"/>
  <c r="A117" i="4"/>
  <c r="I116" i="4"/>
  <c r="H116" i="4"/>
  <c r="G116" i="4"/>
  <c r="F116" i="4"/>
  <c r="E116" i="4"/>
  <c r="D116" i="4"/>
  <c r="C116" i="4"/>
  <c r="B116" i="4"/>
  <c r="A116" i="4"/>
  <c r="I115" i="4"/>
  <c r="H115" i="4"/>
  <c r="G115" i="4"/>
  <c r="F115" i="4"/>
  <c r="E115" i="4"/>
  <c r="D115" i="4"/>
  <c r="C115" i="4"/>
  <c r="B115" i="4"/>
  <c r="A115" i="4"/>
  <c r="I114" i="4"/>
  <c r="H114" i="4"/>
  <c r="G114" i="4"/>
  <c r="F114" i="4"/>
  <c r="E114" i="4"/>
  <c r="D114" i="4"/>
  <c r="C114" i="4"/>
  <c r="B114" i="4"/>
  <c r="A114" i="4"/>
  <c r="I113" i="4"/>
  <c r="H113" i="4"/>
  <c r="G113" i="4"/>
  <c r="F113" i="4"/>
  <c r="E113" i="4"/>
  <c r="D113" i="4"/>
  <c r="C113" i="4"/>
  <c r="B113" i="4"/>
  <c r="A113" i="4"/>
  <c r="I112" i="4"/>
  <c r="H112" i="4"/>
  <c r="G112" i="4"/>
  <c r="F112" i="4"/>
  <c r="E112" i="4"/>
  <c r="D112" i="4"/>
  <c r="C112" i="4"/>
  <c r="B112" i="4"/>
  <c r="A112" i="4"/>
  <c r="I111" i="4"/>
  <c r="H111" i="4"/>
  <c r="G111" i="4"/>
  <c r="F111" i="4"/>
  <c r="E111" i="4"/>
  <c r="D111" i="4"/>
  <c r="C111" i="4"/>
  <c r="B111" i="4"/>
  <c r="A111" i="4"/>
  <c r="I110" i="4"/>
  <c r="H110" i="4"/>
  <c r="G110" i="4"/>
  <c r="F110" i="4"/>
  <c r="E110" i="4"/>
  <c r="D110" i="4"/>
  <c r="C110" i="4"/>
  <c r="B110" i="4"/>
  <c r="A110" i="4"/>
  <c r="I109" i="4"/>
  <c r="H109" i="4"/>
  <c r="G109" i="4"/>
  <c r="F109" i="4"/>
  <c r="E109" i="4"/>
  <c r="D109" i="4"/>
  <c r="C109" i="4"/>
  <c r="B109" i="4"/>
  <c r="A109" i="4"/>
  <c r="I108" i="4"/>
  <c r="H108" i="4"/>
  <c r="G108" i="4"/>
  <c r="F108" i="4"/>
  <c r="E108" i="4"/>
  <c r="D108" i="4"/>
  <c r="C108" i="4"/>
  <c r="B108" i="4"/>
  <c r="A108" i="4"/>
  <c r="I107" i="4"/>
  <c r="H107" i="4"/>
  <c r="G107" i="4"/>
  <c r="F107" i="4"/>
  <c r="E107" i="4"/>
  <c r="D107" i="4"/>
  <c r="C107" i="4"/>
  <c r="B107" i="4"/>
  <c r="A107" i="4"/>
  <c r="I106" i="4"/>
  <c r="H106" i="4"/>
  <c r="G106" i="4"/>
  <c r="F106" i="4"/>
  <c r="E106" i="4"/>
  <c r="D106" i="4"/>
  <c r="C106" i="4"/>
  <c r="B106" i="4"/>
  <c r="A106" i="4"/>
  <c r="I105" i="4"/>
  <c r="H105" i="4"/>
  <c r="G105" i="4"/>
  <c r="F105" i="4"/>
  <c r="E105" i="4"/>
  <c r="D105" i="4"/>
  <c r="C105" i="4"/>
  <c r="B105" i="4"/>
  <c r="A105" i="4"/>
  <c r="I104" i="4"/>
  <c r="H104" i="4"/>
  <c r="G104" i="4"/>
  <c r="F104" i="4"/>
  <c r="E104" i="4"/>
  <c r="D104" i="4"/>
  <c r="C104" i="4"/>
  <c r="B104" i="4"/>
  <c r="A104" i="4"/>
  <c r="I103" i="4"/>
  <c r="H103" i="4"/>
  <c r="G103" i="4"/>
  <c r="F103" i="4"/>
  <c r="E103" i="4"/>
  <c r="D103" i="4"/>
  <c r="C103" i="4"/>
  <c r="B103" i="4"/>
  <c r="A103" i="4"/>
  <c r="I102" i="4"/>
  <c r="H102" i="4"/>
  <c r="G102" i="4"/>
  <c r="F102" i="4"/>
  <c r="E102" i="4"/>
  <c r="D102" i="4"/>
  <c r="C102" i="4"/>
  <c r="B102" i="4"/>
  <c r="A102" i="4"/>
  <c r="I101" i="4"/>
  <c r="H101" i="4"/>
  <c r="G101" i="4"/>
  <c r="F101" i="4"/>
  <c r="E101" i="4"/>
  <c r="D101" i="4"/>
  <c r="C101" i="4"/>
  <c r="B101" i="4"/>
  <c r="A101" i="4"/>
  <c r="I100" i="4"/>
  <c r="H100" i="4"/>
  <c r="G100" i="4"/>
  <c r="F100" i="4"/>
  <c r="E100" i="4"/>
  <c r="D100" i="4"/>
  <c r="C100" i="4"/>
  <c r="B100" i="4"/>
  <c r="A100" i="4"/>
  <c r="I99" i="4"/>
  <c r="H99" i="4"/>
  <c r="G99" i="4"/>
  <c r="F99" i="4"/>
  <c r="E99" i="4"/>
  <c r="D99" i="4"/>
  <c r="C99" i="4"/>
  <c r="B99" i="4"/>
  <c r="A99" i="4"/>
  <c r="I98" i="4"/>
  <c r="H98" i="4"/>
  <c r="G98" i="4"/>
  <c r="F98" i="4"/>
  <c r="E98" i="4"/>
  <c r="D98" i="4"/>
  <c r="C98" i="4"/>
  <c r="B98" i="4"/>
  <c r="A98" i="4"/>
  <c r="I97" i="4"/>
  <c r="H97" i="4"/>
  <c r="G97" i="4"/>
  <c r="F97" i="4"/>
  <c r="E97" i="4"/>
  <c r="D97" i="4"/>
  <c r="C97" i="4"/>
  <c r="B97" i="4"/>
  <c r="A97" i="4"/>
  <c r="I96" i="4"/>
  <c r="H96" i="4"/>
  <c r="G96" i="4"/>
  <c r="F96" i="4"/>
  <c r="E96" i="4"/>
  <c r="D96" i="4"/>
  <c r="C96" i="4"/>
  <c r="B96" i="4"/>
  <c r="A96" i="4"/>
  <c r="I95" i="4"/>
  <c r="H95" i="4"/>
  <c r="G95" i="4"/>
  <c r="F95" i="4"/>
  <c r="E95" i="4"/>
  <c r="D95" i="4"/>
  <c r="C95" i="4"/>
  <c r="B95" i="4"/>
  <c r="A95" i="4"/>
  <c r="I94" i="4"/>
  <c r="H94" i="4"/>
  <c r="G94" i="4"/>
  <c r="F94" i="4"/>
  <c r="E94" i="4"/>
  <c r="D94" i="4"/>
  <c r="C94" i="4"/>
  <c r="B94" i="4"/>
  <c r="A94" i="4"/>
  <c r="I93" i="4"/>
  <c r="H93" i="4"/>
  <c r="G93" i="4"/>
  <c r="F93" i="4"/>
  <c r="E93" i="4"/>
  <c r="D93" i="4"/>
  <c r="C93" i="4"/>
  <c r="B93" i="4"/>
  <c r="A93" i="4"/>
  <c r="I92" i="4"/>
  <c r="H92" i="4"/>
  <c r="G92" i="4"/>
  <c r="F92" i="4"/>
  <c r="E92" i="4"/>
  <c r="D92" i="4"/>
  <c r="C92" i="4"/>
  <c r="B92" i="4"/>
  <c r="A92" i="4"/>
  <c r="I91" i="4"/>
  <c r="H91" i="4"/>
  <c r="G91" i="4"/>
  <c r="F91" i="4"/>
  <c r="E91" i="4"/>
  <c r="D91" i="4"/>
  <c r="C91" i="4"/>
  <c r="B91" i="4"/>
  <c r="A91" i="4"/>
  <c r="I90" i="4"/>
  <c r="H90" i="4"/>
  <c r="G90" i="4"/>
  <c r="F90" i="4"/>
  <c r="E90" i="4"/>
  <c r="D90" i="4"/>
  <c r="C90" i="4"/>
  <c r="B90" i="4"/>
  <c r="A90" i="4"/>
  <c r="I89" i="4"/>
  <c r="H89" i="4"/>
  <c r="G89" i="4"/>
  <c r="F89" i="4"/>
  <c r="E89" i="4"/>
  <c r="D89" i="4"/>
  <c r="C89" i="4"/>
  <c r="B89" i="4"/>
  <c r="A89" i="4"/>
  <c r="I88" i="4"/>
  <c r="H88" i="4"/>
  <c r="G88" i="4"/>
  <c r="F88" i="4"/>
  <c r="E88" i="4"/>
  <c r="D88" i="4"/>
  <c r="C88" i="4"/>
  <c r="B88" i="4"/>
  <c r="A88" i="4"/>
  <c r="I87" i="4"/>
  <c r="H87" i="4"/>
  <c r="G87" i="4"/>
  <c r="F87" i="4"/>
  <c r="E87" i="4"/>
  <c r="D87" i="4"/>
  <c r="C87" i="4"/>
  <c r="B87" i="4"/>
  <c r="A87" i="4"/>
  <c r="I86" i="4"/>
  <c r="H86" i="4"/>
  <c r="G86" i="4"/>
  <c r="F86" i="4"/>
  <c r="E86" i="4"/>
  <c r="D86" i="4"/>
  <c r="C86" i="4"/>
  <c r="B86" i="4"/>
  <c r="A86" i="4"/>
  <c r="I85" i="4"/>
  <c r="H85" i="4"/>
  <c r="G85" i="4"/>
  <c r="F85" i="4"/>
  <c r="E85" i="4"/>
  <c r="D85" i="4"/>
  <c r="C85" i="4"/>
  <c r="B85" i="4"/>
  <c r="A85" i="4"/>
  <c r="I84" i="4"/>
  <c r="H84" i="4"/>
  <c r="G84" i="4"/>
  <c r="F84" i="4"/>
  <c r="E84" i="4"/>
  <c r="D84" i="4"/>
  <c r="C84" i="4"/>
  <c r="B84" i="4"/>
  <c r="A84" i="4"/>
  <c r="I83" i="4"/>
  <c r="H83" i="4"/>
  <c r="G83" i="4"/>
  <c r="F83" i="4"/>
  <c r="E83" i="4"/>
  <c r="D83" i="4"/>
  <c r="C83" i="4"/>
  <c r="B83" i="4"/>
  <c r="A83" i="4"/>
  <c r="I82" i="4"/>
  <c r="H82" i="4"/>
  <c r="G82" i="4"/>
  <c r="F82" i="4"/>
  <c r="E82" i="4"/>
  <c r="D82" i="4"/>
  <c r="C82" i="4"/>
  <c r="B82" i="4"/>
  <c r="A82" i="4"/>
  <c r="I81" i="4"/>
  <c r="H81" i="4"/>
  <c r="G81" i="4"/>
  <c r="F81" i="4"/>
  <c r="E81" i="4"/>
  <c r="D81" i="4"/>
  <c r="C81" i="4"/>
  <c r="B81" i="4"/>
  <c r="A81" i="4"/>
  <c r="I80" i="4"/>
  <c r="H80" i="4"/>
  <c r="G80" i="4"/>
  <c r="F80" i="4"/>
  <c r="E80" i="4"/>
  <c r="D80" i="4"/>
  <c r="C80" i="4"/>
  <c r="B80" i="4"/>
  <c r="A80" i="4"/>
  <c r="I79" i="4"/>
  <c r="H79" i="4"/>
  <c r="G79" i="4"/>
  <c r="F79" i="4"/>
  <c r="E79" i="4"/>
  <c r="D79" i="4"/>
  <c r="C79" i="4"/>
  <c r="B79" i="4"/>
  <c r="A79" i="4"/>
  <c r="I78" i="4"/>
  <c r="H78" i="4"/>
  <c r="G78" i="4"/>
  <c r="F78" i="4"/>
  <c r="E78" i="4"/>
  <c r="D78" i="4"/>
  <c r="C78" i="4"/>
  <c r="B78" i="4"/>
  <c r="A78" i="4"/>
  <c r="I77" i="4"/>
  <c r="H77" i="4"/>
  <c r="G77" i="4"/>
  <c r="F77" i="4"/>
  <c r="E77" i="4"/>
  <c r="D77" i="4"/>
  <c r="C77" i="4"/>
  <c r="B77" i="4"/>
  <c r="A77" i="4"/>
  <c r="I76" i="4"/>
  <c r="H76" i="4"/>
  <c r="G76" i="4"/>
  <c r="F76" i="4"/>
  <c r="E76" i="4"/>
  <c r="D76" i="4"/>
  <c r="C76" i="4"/>
  <c r="B76" i="4"/>
  <c r="A76" i="4"/>
  <c r="I75" i="4"/>
  <c r="H75" i="4"/>
  <c r="G75" i="4"/>
  <c r="F75" i="4"/>
  <c r="E75" i="4"/>
  <c r="D75" i="4"/>
  <c r="C75" i="4"/>
  <c r="B75" i="4"/>
  <c r="A75" i="4"/>
  <c r="I74" i="4"/>
  <c r="H74" i="4"/>
  <c r="G74" i="4"/>
  <c r="F74" i="4"/>
  <c r="E74" i="4"/>
  <c r="D74" i="4"/>
  <c r="C74" i="4"/>
  <c r="B74" i="4"/>
  <c r="A74" i="4"/>
  <c r="I73" i="4"/>
  <c r="H73" i="4"/>
  <c r="G73" i="4"/>
  <c r="F73" i="4"/>
  <c r="E73" i="4"/>
  <c r="D73" i="4"/>
  <c r="C73" i="4"/>
  <c r="B73" i="4"/>
  <c r="A73" i="4"/>
  <c r="I72" i="4"/>
  <c r="H72" i="4"/>
  <c r="G72" i="4"/>
  <c r="F72" i="4"/>
  <c r="E72" i="4"/>
  <c r="D72" i="4"/>
  <c r="C72" i="4"/>
  <c r="B72" i="4"/>
  <c r="A72" i="4"/>
  <c r="I71" i="4"/>
  <c r="H71" i="4"/>
  <c r="G71" i="4"/>
  <c r="F71" i="4"/>
  <c r="E71" i="4"/>
  <c r="D71" i="4"/>
  <c r="C71" i="4"/>
  <c r="B71" i="4"/>
  <c r="A71" i="4"/>
  <c r="I70" i="4"/>
  <c r="H70" i="4"/>
  <c r="G70" i="4"/>
  <c r="F70" i="4"/>
  <c r="E70" i="4"/>
  <c r="D70" i="4"/>
  <c r="C70" i="4"/>
  <c r="B70" i="4"/>
  <c r="A70" i="4"/>
  <c r="I69" i="4"/>
  <c r="H69" i="4"/>
  <c r="G69" i="4"/>
  <c r="F69" i="4"/>
  <c r="E69" i="4"/>
  <c r="D69" i="4"/>
  <c r="C69" i="4"/>
  <c r="B69" i="4"/>
  <c r="A69" i="4"/>
  <c r="I68" i="4"/>
  <c r="H68" i="4"/>
  <c r="G68" i="4"/>
  <c r="F68" i="4"/>
  <c r="E68" i="4"/>
  <c r="D68" i="4"/>
  <c r="C68" i="4"/>
  <c r="B68" i="4"/>
  <c r="A68" i="4"/>
  <c r="I67" i="4"/>
  <c r="H67" i="4"/>
  <c r="G67" i="4"/>
  <c r="F67" i="4"/>
  <c r="E67" i="4"/>
  <c r="D67" i="4"/>
  <c r="C67" i="4"/>
  <c r="B67" i="4"/>
  <c r="A67" i="4"/>
  <c r="I66" i="4"/>
  <c r="H66" i="4"/>
  <c r="G66" i="4"/>
  <c r="F66" i="4"/>
  <c r="E66" i="4"/>
  <c r="D66" i="4"/>
  <c r="C66" i="4"/>
  <c r="B66" i="4"/>
  <c r="A66" i="4"/>
  <c r="I65" i="4"/>
  <c r="H65" i="4"/>
  <c r="G65" i="4"/>
  <c r="F65" i="4"/>
  <c r="E65" i="4"/>
  <c r="D65" i="4"/>
  <c r="C65" i="4"/>
  <c r="B65" i="4"/>
  <c r="A65" i="4"/>
  <c r="I64" i="4"/>
  <c r="H64" i="4"/>
  <c r="G64" i="4"/>
  <c r="F64" i="4"/>
  <c r="E64" i="4"/>
  <c r="D64" i="4"/>
  <c r="C64" i="4"/>
  <c r="B64" i="4"/>
  <c r="A64" i="4"/>
  <c r="I63" i="4"/>
  <c r="H63" i="4"/>
  <c r="G63" i="4"/>
  <c r="F63" i="4"/>
  <c r="E63" i="4"/>
  <c r="D63" i="4"/>
  <c r="C63" i="4"/>
  <c r="B63" i="4"/>
  <c r="A63" i="4"/>
  <c r="I62" i="4"/>
  <c r="H62" i="4"/>
  <c r="G62" i="4"/>
  <c r="F62" i="4"/>
  <c r="E62" i="4"/>
  <c r="D62" i="4"/>
  <c r="C62" i="4"/>
  <c r="B62" i="4"/>
  <c r="A62" i="4"/>
  <c r="I61" i="4"/>
  <c r="H61" i="4"/>
  <c r="G61" i="4"/>
  <c r="F61" i="4"/>
  <c r="E61" i="4"/>
  <c r="D61" i="4"/>
  <c r="C61" i="4"/>
  <c r="B61" i="4"/>
  <c r="A61" i="4"/>
  <c r="I60" i="4"/>
  <c r="H60" i="4"/>
  <c r="G60" i="4"/>
  <c r="F60" i="4"/>
  <c r="E60" i="4"/>
  <c r="D60" i="4"/>
  <c r="C60" i="4"/>
  <c r="B60" i="4"/>
  <c r="A60" i="4"/>
  <c r="I59" i="4"/>
  <c r="H59" i="4"/>
  <c r="G59" i="4"/>
  <c r="F59" i="4"/>
  <c r="E59" i="4"/>
  <c r="D59" i="4"/>
  <c r="C59" i="4"/>
  <c r="B59" i="4"/>
  <c r="A59" i="4"/>
  <c r="I58" i="4"/>
  <c r="H58" i="4"/>
  <c r="G58" i="4"/>
  <c r="F58" i="4"/>
  <c r="E58" i="4"/>
  <c r="D58" i="4"/>
  <c r="C58" i="4"/>
  <c r="B58" i="4"/>
  <c r="A58" i="4"/>
  <c r="I57" i="4"/>
  <c r="H57" i="4"/>
  <c r="G57" i="4"/>
  <c r="F57" i="4"/>
  <c r="E57" i="4"/>
  <c r="D57" i="4"/>
  <c r="C57" i="4"/>
  <c r="B57" i="4"/>
  <c r="A57" i="4"/>
  <c r="I56" i="4"/>
  <c r="H56" i="4"/>
  <c r="G56" i="4"/>
  <c r="F56" i="4"/>
  <c r="E56" i="4"/>
  <c r="D56" i="4"/>
  <c r="C56" i="4"/>
  <c r="B56" i="4"/>
  <c r="A56" i="4"/>
  <c r="I55" i="4"/>
  <c r="H55" i="4"/>
  <c r="G55" i="4"/>
  <c r="F55" i="4"/>
  <c r="E55" i="4"/>
  <c r="D55" i="4"/>
  <c r="C55" i="4"/>
  <c r="B55" i="4"/>
  <c r="A55" i="4"/>
  <c r="I54" i="4"/>
  <c r="H54" i="4"/>
  <c r="G54" i="4"/>
  <c r="F54" i="4"/>
  <c r="E54" i="4"/>
  <c r="D54" i="4"/>
  <c r="C54" i="4"/>
  <c r="B54" i="4"/>
  <c r="A54" i="4"/>
  <c r="I53" i="4"/>
  <c r="H53" i="4"/>
  <c r="G53" i="4"/>
  <c r="F53" i="4"/>
  <c r="E53" i="4"/>
  <c r="D53" i="4"/>
  <c r="C53" i="4"/>
  <c r="B53" i="4"/>
  <c r="A53" i="4"/>
  <c r="I52" i="4"/>
  <c r="H52" i="4"/>
  <c r="G52" i="4"/>
  <c r="F52" i="4"/>
  <c r="E52" i="4"/>
  <c r="D52" i="4"/>
  <c r="C52" i="4"/>
  <c r="B52" i="4"/>
  <c r="A52" i="4"/>
  <c r="I51" i="4"/>
  <c r="H51" i="4"/>
  <c r="G51" i="4"/>
  <c r="F51" i="4"/>
  <c r="E51" i="4"/>
  <c r="D51" i="4"/>
  <c r="C51" i="4"/>
  <c r="B51" i="4"/>
  <c r="A51" i="4"/>
  <c r="I50" i="4"/>
  <c r="H50" i="4"/>
  <c r="G50" i="4"/>
  <c r="F50" i="4"/>
  <c r="E50" i="4"/>
  <c r="D50" i="4"/>
  <c r="C50" i="4"/>
  <c r="B50" i="4"/>
  <c r="A50" i="4"/>
  <c r="I49" i="4"/>
  <c r="H49" i="4"/>
  <c r="G49" i="4"/>
  <c r="F49" i="4"/>
  <c r="E49" i="4"/>
  <c r="D49" i="4"/>
  <c r="C49" i="4"/>
  <c r="B49" i="4"/>
  <c r="A49" i="4"/>
  <c r="I48" i="4"/>
  <c r="H48" i="4"/>
  <c r="G48" i="4"/>
  <c r="F48" i="4"/>
  <c r="E48" i="4"/>
  <c r="D48" i="4"/>
  <c r="C48" i="4"/>
  <c r="B48" i="4"/>
  <c r="A48" i="4"/>
  <c r="I47" i="4"/>
  <c r="H47" i="4"/>
  <c r="G47" i="4"/>
  <c r="F47" i="4"/>
  <c r="E47" i="4"/>
  <c r="D47" i="4"/>
  <c r="C47" i="4"/>
  <c r="B47" i="4"/>
  <c r="A47" i="4"/>
  <c r="I46" i="4"/>
  <c r="H46" i="4"/>
  <c r="G46" i="4"/>
  <c r="F46" i="4"/>
  <c r="E46" i="4"/>
  <c r="D46" i="4"/>
  <c r="C46" i="4"/>
  <c r="B46" i="4"/>
  <c r="A46" i="4"/>
  <c r="I45" i="4"/>
  <c r="H45" i="4"/>
  <c r="G45" i="4"/>
  <c r="F45" i="4"/>
  <c r="E45" i="4"/>
  <c r="D45" i="4"/>
  <c r="C45" i="4"/>
  <c r="B45" i="4"/>
  <c r="A45" i="4"/>
  <c r="I44" i="4"/>
  <c r="H44" i="4"/>
  <c r="G44" i="4"/>
  <c r="F44" i="4"/>
  <c r="E44" i="4"/>
  <c r="D44" i="4"/>
  <c r="C44" i="4"/>
  <c r="B44" i="4"/>
  <c r="A44" i="4"/>
  <c r="I43" i="4"/>
  <c r="H43" i="4"/>
  <c r="G43" i="4"/>
  <c r="F43" i="4"/>
  <c r="E43" i="4"/>
  <c r="D43" i="4"/>
  <c r="C43" i="4"/>
  <c r="B43" i="4"/>
  <c r="A43" i="4"/>
  <c r="I42" i="4"/>
  <c r="H42" i="4"/>
  <c r="G42" i="4"/>
  <c r="F42" i="4"/>
  <c r="E42" i="4"/>
  <c r="D42" i="4"/>
  <c r="C42" i="4"/>
  <c r="B42" i="4"/>
  <c r="A42" i="4"/>
  <c r="I41" i="4"/>
  <c r="H41" i="4"/>
  <c r="G41" i="4"/>
  <c r="F41" i="4"/>
  <c r="E41" i="4"/>
  <c r="D41" i="4"/>
  <c r="C41" i="4"/>
  <c r="B41" i="4"/>
  <c r="A41" i="4"/>
  <c r="I40" i="4"/>
  <c r="H40" i="4"/>
  <c r="G40" i="4"/>
  <c r="F40" i="4"/>
  <c r="E40" i="4"/>
  <c r="D40" i="4"/>
  <c r="C40" i="4"/>
  <c r="B40" i="4"/>
  <c r="A40" i="4"/>
  <c r="I39" i="4"/>
  <c r="H39" i="4"/>
  <c r="G39" i="4"/>
  <c r="F39" i="4"/>
  <c r="E39" i="4"/>
  <c r="D39" i="4"/>
  <c r="C39" i="4"/>
  <c r="B39" i="4"/>
  <c r="A39" i="4"/>
  <c r="I38" i="4"/>
  <c r="H38" i="4"/>
  <c r="G38" i="4"/>
  <c r="F38" i="4"/>
  <c r="E38" i="4"/>
  <c r="D38" i="4"/>
  <c r="C38" i="4"/>
  <c r="B38" i="4"/>
  <c r="A38" i="4"/>
  <c r="I37" i="4"/>
  <c r="H37" i="4"/>
  <c r="G37" i="4"/>
  <c r="F37" i="4"/>
  <c r="E37" i="4"/>
  <c r="D37" i="4"/>
  <c r="C37" i="4"/>
  <c r="B37" i="4"/>
  <c r="A37" i="4"/>
  <c r="I36" i="4"/>
  <c r="H36" i="4"/>
  <c r="G36" i="4"/>
  <c r="F36" i="4"/>
  <c r="E36" i="4"/>
  <c r="D36" i="4"/>
  <c r="C36" i="4"/>
  <c r="B36" i="4"/>
  <c r="A36" i="4"/>
  <c r="I35" i="4"/>
  <c r="H35" i="4"/>
  <c r="G35" i="4"/>
  <c r="F35" i="4"/>
  <c r="E35" i="4"/>
  <c r="D35" i="4"/>
  <c r="C35" i="4"/>
  <c r="B35" i="4"/>
  <c r="A35" i="4"/>
  <c r="I34" i="4"/>
  <c r="H34" i="4"/>
  <c r="G34" i="4"/>
  <c r="F34" i="4"/>
  <c r="E34" i="4"/>
  <c r="D34" i="4"/>
  <c r="C34" i="4"/>
  <c r="B34" i="4"/>
  <c r="A34" i="4"/>
  <c r="I33" i="4"/>
  <c r="H33" i="4"/>
  <c r="G33" i="4"/>
  <c r="F33" i="4"/>
  <c r="E33" i="4"/>
  <c r="D33" i="4"/>
  <c r="C33" i="4"/>
  <c r="B33" i="4"/>
  <c r="A33" i="4"/>
  <c r="I32" i="4"/>
  <c r="H32" i="4"/>
  <c r="G32" i="4"/>
  <c r="F32" i="4"/>
  <c r="E32" i="4"/>
  <c r="D32" i="4"/>
  <c r="C32" i="4"/>
  <c r="B32" i="4"/>
  <c r="A32" i="4"/>
  <c r="I31" i="4"/>
  <c r="H31" i="4"/>
  <c r="G31" i="4"/>
  <c r="F31" i="4"/>
  <c r="E31" i="4"/>
  <c r="D31" i="4"/>
  <c r="C31" i="4"/>
  <c r="B31" i="4"/>
  <c r="A31" i="4"/>
  <c r="I30" i="4"/>
  <c r="H30" i="4"/>
  <c r="G30" i="4"/>
  <c r="F30" i="4"/>
  <c r="E30" i="4"/>
  <c r="D30" i="4"/>
  <c r="C30" i="4"/>
  <c r="B30" i="4"/>
  <c r="A30" i="4"/>
  <c r="I29" i="4"/>
  <c r="H29" i="4"/>
  <c r="G29" i="4"/>
  <c r="F29" i="4"/>
  <c r="E29" i="4"/>
  <c r="D29" i="4"/>
  <c r="C29" i="4"/>
  <c r="B29" i="4"/>
  <c r="A29" i="4"/>
  <c r="I28" i="4"/>
  <c r="H28" i="4"/>
  <c r="G28" i="4"/>
  <c r="F28" i="4"/>
  <c r="E28" i="4"/>
  <c r="D28" i="4"/>
  <c r="C28" i="4"/>
  <c r="B28" i="4"/>
  <c r="A28" i="4"/>
  <c r="I27" i="4"/>
  <c r="H27" i="4"/>
  <c r="G27" i="4"/>
  <c r="F27" i="4"/>
  <c r="E27" i="4"/>
  <c r="D27" i="4"/>
  <c r="C27" i="4"/>
  <c r="B27" i="4"/>
  <c r="A27" i="4"/>
  <c r="I26" i="4"/>
  <c r="H26" i="4"/>
  <c r="G26" i="4"/>
  <c r="F26" i="4"/>
  <c r="E26" i="4"/>
  <c r="D26" i="4"/>
  <c r="C26" i="4"/>
  <c r="B26" i="4"/>
  <c r="A26" i="4"/>
  <c r="I25" i="4"/>
  <c r="H25" i="4"/>
  <c r="G25" i="4"/>
  <c r="F25" i="4"/>
  <c r="E25" i="4"/>
  <c r="D25" i="4"/>
  <c r="C25" i="4"/>
  <c r="B25" i="4"/>
  <c r="A25" i="4"/>
  <c r="I24" i="4"/>
  <c r="H24" i="4"/>
  <c r="G24" i="4"/>
  <c r="F24" i="4"/>
  <c r="E24" i="4"/>
  <c r="D24" i="4"/>
  <c r="C24" i="4"/>
  <c r="B24" i="4"/>
  <c r="A24" i="4"/>
  <c r="I23" i="4"/>
  <c r="H23" i="4"/>
  <c r="G23" i="4"/>
  <c r="F23" i="4"/>
  <c r="E23" i="4"/>
  <c r="D23" i="4"/>
  <c r="C23" i="4"/>
  <c r="B23" i="4"/>
  <c r="A23" i="4"/>
  <c r="I22" i="4"/>
  <c r="H22" i="4"/>
  <c r="G22" i="4"/>
  <c r="F22" i="4"/>
  <c r="E22" i="4"/>
  <c r="D22" i="4"/>
  <c r="C22" i="4"/>
  <c r="B22" i="4"/>
  <c r="A22" i="4"/>
  <c r="I21" i="4"/>
  <c r="H21" i="4"/>
  <c r="G21" i="4"/>
  <c r="F21" i="4"/>
  <c r="E21" i="4"/>
  <c r="D21" i="4"/>
  <c r="C21" i="4"/>
  <c r="B21" i="4"/>
  <c r="A21" i="4"/>
  <c r="I20" i="4"/>
  <c r="H20" i="4"/>
  <c r="G20" i="4"/>
  <c r="F20" i="4"/>
  <c r="E20" i="4"/>
  <c r="D20" i="4"/>
  <c r="C20" i="4"/>
  <c r="B20" i="4"/>
  <c r="A20" i="4"/>
  <c r="I19" i="4"/>
  <c r="H19" i="4"/>
  <c r="G19" i="4"/>
  <c r="F19" i="4"/>
  <c r="E19" i="4"/>
  <c r="D19" i="4"/>
  <c r="C19" i="4"/>
  <c r="B19" i="4"/>
  <c r="A19" i="4"/>
  <c r="I18" i="4"/>
  <c r="H18" i="4"/>
  <c r="G18" i="4"/>
  <c r="F18" i="4"/>
  <c r="E18" i="4"/>
  <c r="D18" i="4"/>
  <c r="C18" i="4"/>
  <c r="B18" i="4"/>
  <c r="A18" i="4"/>
  <c r="I17" i="4"/>
  <c r="H17" i="4"/>
  <c r="G17" i="4"/>
  <c r="F17" i="4"/>
  <c r="E17" i="4"/>
  <c r="D17" i="4"/>
  <c r="C17" i="4"/>
  <c r="B17" i="4"/>
  <c r="A17" i="4"/>
  <c r="I16" i="4"/>
  <c r="H16" i="4"/>
  <c r="G16" i="4"/>
  <c r="F16" i="4"/>
  <c r="E16" i="4"/>
  <c r="D16" i="4"/>
  <c r="C16" i="4"/>
  <c r="B16" i="4"/>
  <c r="A16" i="4"/>
  <c r="I15" i="4"/>
  <c r="H15" i="4"/>
  <c r="G15" i="4"/>
  <c r="F15" i="4"/>
  <c r="E15" i="4"/>
  <c r="D15" i="4"/>
  <c r="C15" i="4"/>
  <c r="B15" i="4"/>
  <c r="A15" i="4"/>
  <c r="I14" i="4"/>
  <c r="H14" i="4"/>
  <c r="G14" i="4"/>
  <c r="F14" i="4"/>
  <c r="E14" i="4"/>
  <c r="D14" i="4"/>
  <c r="C14" i="4"/>
  <c r="B14" i="4"/>
  <c r="A14" i="4"/>
  <c r="I13" i="4"/>
  <c r="H13" i="4"/>
  <c r="G13" i="4"/>
  <c r="F13" i="4"/>
  <c r="E13" i="4"/>
  <c r="D13" i="4"/>
  <c r="C13" i="4"/>
  <c r="B13" i="4"/>
  <c r="A13" i="4"/>
  <c r="I12" i="4"/>
  <c r="H12" i="4"/>
  <c r="G12" i="4"/>
  <c r="F12" i="4"/>
  <c r="E12" i="4"/>
  <c r="D12" i="4"/>
  <c r="C12" i="4"/>
  <c r="B12" i="4"/>
  <c r="A12" i="4"/>
  <c r="I11" i="4"/>
  <c r="H11" i="4"/>
  <c r="G11" i="4"/>
  <c r="F11" i="4"/>
  <c r="E11" i="4"/>
  <c r="D11" i="4"/>
  <c r="C11" i="4"/>
  <c r="B11" i="4"/>
  <c r="A11" i="4"/>
  <c r="I10" i="4"/>
  <c r="H10" i="4"/>
  <c r="G10" i="4"/>
  <c r="F10" i="4"/>
  <c r="E10" i="4"/>
  <c r="D10" i="4"/>
  <c r="C10" i="4"/>
  <c r="B10" i="4"/>
  <c r="A10" i="4"/>
  <c r="I9" i="4"/>
  <c r="H9" i="4"/>
  <c r="G9" i="4"/>
  <c r="F9" i="4"/>
  <c r="E9" i="4"/>
  <c r="D9" i="4"/>
  <c r="C9" i="4"/>
  <c r="B9" i="4"/>
  <c r="A9" i="4"/>
  <c r="I8" i="4"/>
  <c r="H8" i="4"/>
  <c r="G8" i="4"/>
  <c r="F8" i="4"/>
  <c r="E8" i="4"/>
  <c r="D8" i="4"/>
  <c r="C8" i="4"/>
  <c r="B8" i="4"/>
  <c r="A8" i="4"/>
  <c r="I7" i="4"/>
  <c r="H7" i="4"/>
  <c r="G7" i="4"/>
  <c r="F7" i="4"/>
  <c r="E7" i="4"/>
  <c r="D7" i="4"/>
  <c r="C7" i="4"/>
  <c r="B7" i="4"/>
  <c r="A7" i="4"/>
  <c r="I6" i="4"/>
  <c r="H6" i="4"/>
  <c r="G6" i="4"/>
  <c r="F6" i="4"/>
  <c r="E6" i="4"/>
  <c r="D6" i="4"/>
  <c r="C6" i="4"/>
  <c r="B6" i="4"/>
  <c r="A6" i="4"/>
  <c r="I5" i="4"/>
  <c r="H5" i="4"/>
  <c r="G5" i="4"/>
  <c r="F5" i="4"/>
  <c r="E5" i="4"/>
  <c r="D5" i="4"/>
  <c r="C5" i="4"/>
  <c r="B5" i="4"/>
  <c r="A5" i="4"/>
  <c r="I4" i="4"/>
  <c r="H4" i="4"/>
  <c r="G4" i="4"/>
  <c r="F4" i="4"/>
  <c r="E4" i="4"/>
  <c r="D4" i="4"/>
  <c r="C4" i="4"/>
  <c r="B4" i="4"/>
  <c r="A4" i="4"/>
  <c r="I3" i="4"/>
  <c r="H3" i="4"/>
  <c r="G3" i="4"/>
  <c r="F3" i="4"/>
  <c r="E3" i="4"/>
  <c r="D3" i="4"/>
  <c r="C3" i="4"/>
  <c r="B3" i="4"/>
  <c r="A3" i="4"/>
  <c r="I2" i="4"/>
  <c r="H2" i="4"/>
  <c r="G2" i="4"/>
  <c r="F2" i="4"/>
  <c r="E2" i="4"/>
  <c r="D2" i="4"/>
  <c r="G1" i="4"/>
  <c r="D1" i="4"/>
  <c r="C1" i="4"/>
  <c r="B1" i="4"/>
  <c r="A1" i="4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N163" i="3" s="1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N69" i="3" s="1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N163" i="2" s="1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N134" i="2" s="1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N69" i="2" s="1"/>
  <c r="X143" i="1"/>
  <c r="W143" i="1"/>
  <c r="V143" i="1"/>
  <c r="T143" i="1"/>
  <c r="R143" i="1"/>
  <c r="N143" i="1"/>
  <c r="M143" i="1"/>
  <c r="X82" i="1"/>
  <c r="W82" i="1"/>
  <c r="V82" i="1"/>
  <c r="T82" i="1"/>
  <c r="R82" i="1"/>
  <c r="N82" i="1"/>
  <c r="M82" i="1"/>
  <c r="X58" i="1"/>
  <c r="W58" i="1"/>
  <c r="V58" i="1"/>
  <c r="T58" i="1"/>
  <c r="R58" i="1"/>
  <c r="N58" i="1"/>
  <c r="M58" i="1"/>
  <c r="X37" i="1"/>
  <c r="W37" i="1"/>
  <c r="V37" i="1"/>
  <c r="T37" i="1"/>
  <c r="R37" i="1"/>
  <c r="N37" i="1"/>
  <c r="M37" i="1"/>
  <c r="X148" i="1"/>
  <c r="W148" i="1"/>
  <c r="V148" i="1"/>
  <c r="T148" i="1"/>
  <c r="R148" i="1"/>
  <c r="N148" i="1"/>
  <c r="M148" i="1"/>
  <c r="X62" i="1"/>
  <c r="W62" i="1"/>
  <c r="V62" i="1"/>
  <c r="T62" i="1"/>
  <c r="R62" i="1"/>
  <c r="N62" i="1"/>
  <c r="M62" i="1"/>
  <c r="X115" i="1"/>
  <c r="W115" i="1"/>
  <c r="V115" i="1"/>
  <c r="T115" i="1"/>
  <c r="R115" i="1"/>
  <c r="N115" i="1"/>
  <c r="M115" i="1"/>
  <c r="X86" i="1"/>
  <c r="W86" i="1"/>
  <c r="V86" i="1"/>
  <c r="T86" i="1"/>
  <c r="R86" i="1"/>
  <c r="N86" i="1"/>
  <c r="M86" i="1"/>
  <c r="X91" i="1"/>
  <c r="W91" i="1"/>
  <c r="V91" i="1"/>
  <c r="T91" i="1"/>
  <c r="R91" i="1"/>
  <c r="N91" i="1"/>
  <c r="M91" i="1"/>
  <c r="X122" i="1"/>
  <c r="W122" i="1"/>
  <c r="V122" i="1"/>
  <c r="T122" i="1"/>
  <c r="R122" i="1"/>
  <c r="N122" i="1"/>
  <c r="M122" i="1"/>
  <c r="X79" i="1"/>
  <c r="W79" i="1"/>
  <c r="V79" i="1"/>
  <c r="T79" i="1"/>
  <c r="R79" i="1"/>
  <c r="N79" i="1"/>
  <c r="M79" i="1"/>
  <c r="X168" i="1"/>
  <c r="W168" i="1"/>
  <c r="V168" i="1"/>
  <c r="T168" i="1"/>
  <c r="R168" i="1"/>
  <c r="N168" i="1"/>
  <c r="M168" i="1"/>
  <c r="X95" i="1"/>
  <c r="W95" i="1"/>
  <c r="V95" i="1"/>
  <c r="T95" i="1"/>
  <c r="R95" i="1"/>
  <c r="N95" i="1"/>
  <c r="M95" i="1"/>
  <c r="X70" i="1"/>
  <c r="W70" i="1"/>
  <c r="V70" i="1"/>
  <c r="T70" i="1"/>
  <c r="R70" i="1"/>
  <c r="N70" i="1"/>
  <c r="M70" i="1"/>
  <c r="X131" i="1"/>
  <c r="W131" i="1"/>
  <c r="V131" i="1"/>
  <c r="T131" i="1"/>
  <c r="R131" i="1"/>
  <c r="N131" i="1"/>
  <c r="M131" i="1"/>
  <c r="X102" i="1"/>
  <c r="W102" i="1"/>
  <c r="V102" i="1"/>
  <c r="T102" i="1"/>
  <c r="R102" i="1"/>
  <c r="N102" i="1"/>
  <c r="M102" i="1"/>
  <c r="X109" i="1"/>
  <c r="W109" i="1"/>
  <c r="V109" i="1"/>
  <c r="T109" i="1"/>
  <c r="R109" i="1"/>
  <c r="N109" i="1"/>
  <c r="M109" i="1"/>
  <c r="X66" i="1"/>
  <c r="W66" i="1"/>
  <c r="V66" i="1"/>
  <c r="T66" i="1"/>
  <c r="R66" i="1"/>
  <c r="N66" i="1"/>
  <c r="M66" i="1"/>
  <c r="X27" i="1"/>
  <c r="W27" i="1"/>
  <c r="V27" i="1"/>
  <c r="T27" i="1"/>
  <c r="R27" i="1"/>
  <c r="N27" i="1"/>
  <c r="M27" i="1"/>
  <c r="X133" i="1"/>
  <c r="W133" i="1"/>
  <c r="V133" i="1"/>
  <c r="T133" i="1"/>
  <c r="R133" i="1"/>
  <c r="N133" i="1"/>
  <c r="M133" i="1"/>
  <c r="X158" i="1"/>
  <c r="W158" i="1"/>
  <c r="V158" i="1"/>
  <c r="T158" i="1"/>
  <c r="R158" i="1"/>
  <c r="N158" i="1"/>
  <c r="M158" i="1"/>
  <c r="X177" i="1"/>
  <c r="W177" i="1"/>
  <c r="V177" i="1"/>
  <c r="T177" i="1"/>
  <c r="R177" i="1"/>
  <c r="N177" i="1"/>
  <c r="M177" i="1"/>
  <c r="X176" i="1"/>
  <c r="W176" i="1"/>
  <c r="V176" i="1"/>
  <c r="T176" i="1"/>
  <c r="R176" i="1"/>
  <c r="N176" i="1"/>
  <c r="M176" i="1"/>
  <c r="X46" i="1"/>
  <c r="W46" i="1"/>
  <c r="V46" i="1"/>
  <c r="T46" i="1"/>
  <c r="R46" i="1"/>
  <c r="N46" i="1"/>
  <c r="M46" i="1"/>
  <c r="X100" i="1"/>
  <c r="W100" i="1"/>
  <c r="V100" i="1"/>
  <c r="T100" i="1"/>
  <c r="R100" i="1"/>
  <c r="N100" i="1"/>
  <c r="M100" i="1"/>
  <c r="X55" i="1"/>
  <c r="W55" i="1"/>
  <c r="V55" i="1"/>
  <c r="T55" i="1"/>
  <c r="R55" i="1"/>
  <c r="N55" i="1"/>
  <c r="M55" i="1"/>
  <c r="X74" i="1"/>
  <c r="W74" i="1"/>
  <c r="V74" i="1"/>
  <c r="T74" i="1"/>
  <c r="R74" i="1"/>
  <c r="N74" i="1"/>
  <c r="M74" i="1"/>
  <c r="X165" i="1"/>
  <c r="W165" i="1"/>
  <c r="V165" i="1"/>
  <c r="T165" i="1"/>
  <c r="R165" i="1"/>
  <c r="N165" i="1"/>
  <c r="M165" i="1"/>
  <c r="X118" i="1"/>
  <c r="W118" i="1"/>
  <c r="V118" i="1"/>
  <c r="T118" i="1"/>
  <c r="R118" i="1"/>
  <c r="N118" i="1"/>
  <c r="M118" i="1"/>
  <c r="X101" i="1"/>
  <c r="W101" i="1"/>
  <c r="V101" i="1"/>
  <c r="T101" i="1"/>
  <c r="R101" i="1"/>
  <c r="N101" i="1"/>
  <c r="M101" i="1"/>
  <c r="X162" i="1"/>
  <c r="W162" i="1"/>
  <c r="V162" i="1"/>
  <c r="T162" i="1"/>
  <c r="R162" i="1"/>
  <c r="N162" i="1"/>
  <c r="M162" i="1"/>
  <c r="X35" i="1"/>
  <c r="W35" i="1"/>
  <c r="V35" i="1"/>
  <c r="T35" i="1"/>
  <c r="R35" i="1"/>
  <c r="N35" i="1"/>
  <c r="M35" i="1"/>
  <c r="X154" i="1"/>
  <c r="W154" i="1"/>
  <c r="V154" i="1"/>
  <c r="T154" i="1"/>
  <c r="R154" i="1"/>
  <c r="N154" i="1"/>
  <c r="M154" i="1"/>
  <c r="X104" i="1"/>
  <c r="W104" i="1"/>
  <c r="V104" i="1"/>
  <c r="T104" i="1"/>
  <c r="R104" i="1"/>
  <c r="N104" i="1"/>
  <c r="M104" i="1"/>
  <c r="X93" i="1"/>
  <c r="W93" i="1"/>
  <c r="V93" i="1"/>
  <c r="T93" i="1"/>
  <c r="R93" i="1"/>
  <c r="N93" i="1"/>
  <c r="M93" i="1"/>
  <c r="X38" i="1"/>
  <c r="W38" i="1"/>
  <c r="V38" i="1"/>
  <c r="T38" i="1"/>
  <c r="R38" i="1"/>
  <c r="N38" i="1"/>
  <c r="M38" i="1"/>
  <c r="X90" i="1"/>
  <c r="W90" i="1"/>
  <c r="V90" i="1"/>
  <c r="T90" i="1"/>
  <c r="R90" i="1"/>
  <c r="N90" i="1"/>
  <c r="M90" i="1"/>
  <c r="X40" i="1"/>
  <c r="W40" i="1"/>
  <c r="V40" i="1"/>
  <c r="T40" i="1"/>
  <c r="R40" i="1"/>
  <c r="N40" i="1"/>
  <c r="M40" i="1"/>
  <c r="X26" i="1"/>
  <c r="W26" i="1"/>
  <c r="V26" i="1"/>
  <c r="T26" i="1"/>
  <c r="R26" i="1"/>
  <c r="N26" i="1"/>
  <c r="M26" i="1"/>
  <c r="X29" i="1"/>
  <c r="W29" i="1"/>
  <c r="V29" i="1"/>
  <c r="T29" i="1"/>
  <c r="R29" i="1"/>
  <c r="N29" i="1"/>
  <c r="M29" i="1"/>
  <c r="X174" i="1"/>
  <c r="W174" i="1"/>
  <c r="V174" i="1"/>
  <c r="T174" i="1"/>
  <c r="R174" i="1"/>
  <c r="N174" i="1"/>
  <c r="M174" i="1"/>
  <c r="X42" i="1"/>
  <c r="W42" i="1"/>
  <c r="V42" i="1"/>
  <c r="T42" i="1"/>
  <c r="R42" i="1"/>
  <c r="N42" i="1"/>
  <c r="M42" i="1"/>
  <c r="X108" i="1"/>
  <c r="W108" i="1"/>
  <c r="V108" i="1"/>
  <c r="T108" i="1"/>
  <c r="R108" i="1"/>
  <c r="N108" i="1"/>
  <c r="M108" i="1"/>
  <c r="X34" i="1"/>
  <c r="W34" i="1"/>
  <c r="V34" i="1"/>
  <c r="T34" i="1"/>
  <c r="R34" i="1"/>
  <c r="N34" i="1"/>
  <c r="M34" i="1"/>
  <c r="X178" i="1"/>
  <c r="W178" i="1"/>
  <c r="V178" i="1"/>
  <c r="T178" i="1"/>
  <c r="R178" i="1"/>
  <c r="N178" i="1"/>
  <c r="M178" i="1"/>
  <c r="X81" i="1"/>
  <c r="W81" i="1"/>
  <c r="V81" i="1"/>
  <c r="T81" i="1"/>
  <c r="R81" i="1"/>
  <c r="N81" i="1"/>
  <c r="M81" i="1"/>
  <c r="X32" i="1"/>
  <c r="W32" i="1"/>
  <c r="V32" i="1"/>
  <c r="T32" i="1"/>
  <c r="R32" i="1"/>
  <c r="N32" i="1"/>
  <c r="M32" i="1"/>
  <c r="X52" i="1"/>
  <c r="W52" i="1"/>
  <c r="V52" i="1"/>
  <c r="T52" i="1"/>
  <c r="R52" i="1"/>
  <c r="N52" i="1"/>
  <c r="M52" i="1"/>
  <c r="X171" i="1"/>
  <c r="W171" i="1"/>
  <c r="V171" i="1"/>
  <c r="T171" i="1"/>
  <c r="R171" i="1"/>
  <c r="N171" i="1"/>
  <c r="M171" i="1"/>
  <c r="X77" i="1"/>
  <c r="W77" i="1"/>
  <c r="V77" i="1"/>
  <c r="T77" i="1"/>
  <c r="R77" i="1"/>
  <c r="N77" i="1"/>
  <c r="M77" i="1"/>
  <c r="X21" i="1"/>
  <c r="W21" i="1"/>
  <c r="V21" i="1"/>
  <c r="T21" i="1"/>
  <c r="R21" i="1"/>
  <c r="N21" i="1"/>
  <c r="M21" i="1"/>
  <c r="X161" i="1"/>
  <c r="W161" i="1"/>
  <c r="V161" i="1"/>
  <c r="T161" i="1"/>
  <c r="R161" i="1"/>
  <c r="N161" i="1"/>
  <c r="M161" i="1"/>
  <c r="X125" i="1"/>
  <c r="W125" i="1"/>
  <c r="V125" i="1"/>
  <c r="T125" i="1"/>
  <c r="R125" i="1"/>
  <c r="N125" i="1"/>
  <c r="M125" i="1"/>
  <c r="X173" i="1"/>
  <c r="W173" i="1"/>
  <c r="V173" i="1"/>
  <c r="T173" i="1"/>
  <c r="R173" i="1"/>
  <c r="N173" i="1"/>
  <c r="M173" i="1"/>
  <c r="X65" i="1"/>
  <c r="W65" i="1"/>
  <c r="V65" i="1"/>
  <c r="T65" i="1"/>
  <c r="R65" i="1"/>
  <c r="N65" i="1"/>
  <c r="M65" i="1"/>
  <c r="X136" i="1"/>
  <c r="W136" i="1"/>
  <c r="V136" i="1"/>
  <c r="T136" i="1"/>
  <c r="R136" i="1"/>
  <c r="N136" i="1"/>
  <c r="M136" i="1"/>
  <c r="X94" i="1"/>
  <c r="W94" i="1"/>
  <c r="V94" i="1"/>
  <c r="T94" i="1"/>
  <c r="R94" i="1"/>
  <c r="N94" i="1"/>
  <c r="M94" i="1"/>
  <c r="X159" i="1"/>
  <c r="W159" i="1"/>
  <c r="V159" i="1"/>
  <c r="T159" i="1"/>
  <c r="R159" i="1"/>
  <c r="N159" i="1"/>
  <c r="M159" i="1"/>
  <c r="X33" i="1"/>
  <c r="W33" i="1"/>
  <c r="V33" i="1"/>
  <c r="T33" i="1"/>
  <c r="R33" i="1"/>
  <c r="N33" i="1"/>
  <c r="M33" i="1"/>
  <c r="X152" i="1"/>
  <c r="W152" i="1"/>
  <c r="V152" i="1"/>
  <c r="T152" i="1"/>
  <c r="R152" i="1"/>
  <c r="N152" i="1"/>
  <c r="M152" i="1"/>
  <c r="X141" i="1"/>
  <c r="W141" i="1"/>
  <c r="V141" i="1"/>
  <c r="T141" i="1"/>
  <c r="R141" i="1"/>
  <c r="N141" i="1"/>
  <c r="M141" i="1"/>
  <c r="X44" i="1"/>
  <c r="W44" i="1"/>
  <c r="V44" i="1"/>
  <c r="T44" i="1"/>
  <c r="R44" i="1"/>
  <c r="N44" i="1"/>
  <c r="M44" i="1"/>
  <c r="X149" i="1"/>
  <c r="W149" i="1"/>
  <c r="V149" i="1"/>
  <c r="T149" i="1"/>
  <c r="R149" i="1"/>
  <c r="N149" i="1"/>
  <c r="M149" i="1"/>
  <c r="X134" i="1"/>
  <c r="W134" i="1"/>
  <c r="V134" i="1"/>
  <c r="T134" i="1"/>
  <c r="R134" i="1"/>
  <c r="N134" i="1"/>
  <c r="M134" i="1"/>
  <c r="X175" i="1"/>
  <c r="W175" i="1"/>
  <c r="V175" i="1"/>
  <c r="T175" i="1"/>
  <c r="R175" i="1"/>
  <c r="N175" i="1"/>
  <c r="M175" i="1"/>
  <c r="X72" i="1"/>
  <c r="W72" i="1"/>
  <c r="V72" i="1"/>
  <c r="T72" i="1"/>
  <c r="R72" i="1"/>
  <c r="N72" i="1"/>
  <c r="M72" i="1"/>
  <c r="X31" i="1"/>
  <c r="W31" i="1"/>
  <c r="V31" i="1"/>
  <c r="T31" i="1"/>
  <c r="R31" i="1"/>
  <c r="N31" i="1"/>
  <c r="M31" i="1"/>
  <c r="X129" i="1"/>
  <c r="W129" i="1"/>
  <c r="V129" i="1"/>
  <c r="T129" i="1"/>
  <c r="R129" i="1"/>
  <c r="N129" i="1"/>
  <c r="M129" i="1"/>
  <c r="X60" i="1"/>
  <c r="W60" i="1"/>
  <c r="V60" i="1"/>
  <c r="T60" i="1"/>
  <c r="R60" i="1"/>
  <c r="N60" i="1"/>
  <c r="M60" i="1"/>
  <c r="X53" i="1"/>
  <c r="W53" i="1"/>
  <c r="V53" i="1"/>
  <c r="T53" i="1"/>
  <c r="R53" i="1"/>
  <c r="N53" i="1"/>
  <c r="M53" i="1"/>
  <c r="X155" i="1"/>
  <c r="W155" i="1"/>
  <c r="V155" i="1"/>
  <c r="T155" i="1"/>
  <c r="R155" i="1"/>
  <c r="N155" i="1"/>
  <c r="M155" i="1"/>
  <c r="X130" i="1"/>
  <c r="W130" i="1"/>
  <c r="V130" i="1"/>
  <c r="T130" i="1"/>
  <c r="R130" i="1"/>
  <c r="N130" i="1"/>
  <c r="M130" i="1"/>
  <c r="X142" i="1"/>
  <c r="W142" i="1"/>
  <c r="V142" i="1"/>
  <c r="T142" i="1"/>
  <c r="R142" i="1"/>
  <c r="N142" i="1"/>
  <c r="M142" i="1"/>
  <c r="X179" i="1"/>
  <c r="W179" i="1"/>
  <c r="V179" i="1"/>
  <c r="T179" i="1"/>
  <c r="R179" i="1"/>
  <c r="N179" i="1"/>
  <c r="M179" i="1"/>
  <c r="X151" i="1"/>
  <c r="W151" i="1"/>
  <c r="V151" i="1"/>
  <c r="T151" i="1"/>
  <c r="R151" i="1"/>
  <c r="N151" i="1"/>
  <c r="M151" i="1"/>
  <c r="X164" i="1"/>
  <c r="W164" i="1"/>
  <c r="V164" i="1"/>
  <c r="T164" i="1"/>
  <c r="R164" i="1"/>
  <c r="N164" i="1"/>
  <c r="M164" i="1"/>
  <c r="X24" i="1"/>
  <c r="W24" i="1"/>
  <c r="V24" i="1"/>
  <c r="T24" i="1"/>
  <c r="R24" i="1"/>
  <c r="N24" i="1"/>
  <c r="M24" i="1"/>
  <c r="X49" i="1"/>
  <c r="W49" i="1"/>
  <c r="V49" i="1"/>
  <c r="T49" i="1"/>
  <c r="R49" i="1"/>
  <c r="N49" i="1"/>
  <c r="M49" i="1"/>
  <c r="X156" i="1"/>
  <c r="W156" i="1"/>
  <c r="V156" i="1"/>
  <c r="T156" i="1"/>
  <c r="R156" i="1"/>
  <c r="N156" i="1"/>
  <c r="M156" i="1"/>
  <c r="X126" i="1"/>
  <c r="W126" i="1"/>
  <c r="V126" i="1"/>
  <c r="T126" i="1"/>
  <c r="R126" i="1"/>
  <c r="N126" i="1"/>
  <c r="M126" i="1"/>
  <c r="X50" i="1"/>
  <c r="W50" i="1"/>
  <c r="V50" i="1"/>
  <c r="T50" i="1"/>
  <c r="R50" i="1"/>
  <c r="N50" i="1"/>
  <c r="M50" i="1"/>
  <c r="X146" i="1"/>
  <c r="W146" i="1"/>
  <c r="V146" i="1"/>
  <c r="T146" i="1"/>
  <c r="R146" i="1"/>
  <c r="N146" i="1"/>
  <c r="M146" i="1"/>
  <c r="X57" i="1"/>
  <c r="W57" i="1"/>
  <c r="V57" i="1"/>
  <c r="T57" i="1"/>
  <c r="R57" i="1"/>
  <c r="N57" i="1"/>
  <c r="M57" i="1"/>
  <c r="X132" i="1"/>
  <c r="W132" i="1"/>
  <c r="V132" i="1"/>
  <c r="T132" i="1"/>
  <c r="R132" i="1"/>
  <c r="N132" i="1"/>
  <c r="M132" i="1"/>
  <c r="X80" i="1"/>
  <c r="W80" i="1"/>
  <c r="V80" i="1"/>
  <c r="T80" i="1"/>
  <c r="R80" i="1"/>
  <c r="N80" i="1"/>
  <c r="M80" i="1"/>
  <c r="X98" i="1"/>
  <c r="W98" i="1"/>
  <c r="V98" i="1"/>
  <c r="T98" i="1"/>
  <c r="R98" i="1"/>
  <c r="N98" i="1"/>
  <c r="M98" i="1"/>
  <c r="X170" i="1"/>
  <c r="W170" i="1"/>
  <c r="V170" i="1"/>
  <c r="T170" i="1"/>
  <c r="R170" i="1"/>
  <c r="N170" i="1"/>
  <c r="M170" i="1"/>
  <c r="X163" i="1"/>
  <c r="W163" i="1"/>
  <c r="V163" i="1"/>
  <c r="T163" i="1"/>
  <c r="R163" i="1"/>
  <c r="N163" i="1"/>
  <c r="M163" i="1"/>
  <c r="X167" i="1"/>
  <c r="W167" i="1"/>
  <c r="V167" i="1"/>
  <c r="T167" i="1"/>
  <c r="R167" i="1"/>
  <c r="N167" i="1"/>
  <c r="M167" i="1"/>
  <c r="X144" i="1"/>
  <c r="W144" i="1"/>
  <c r="V144" i="1"/>
  <c r="T144" i="1"/>
  <c r="R144" i="1"/>
  <c r="N144" i="1"/>
  <c r="M144" i="1"/>
  <c r="X96" i="1"/>
  <c r="W96" i="1"/>
  <c r="V96" i="1"/>
  <c r="T96" i="1"/>
  <c r="R96" i="1"/>
  <c r="N96" i="1"/>
  <c r="M96" i="1"/>
  <c r="X76" i="1"/>
  <c r="W76" i="1"/>
  <c r="V76" i="1"/>
  <c r="T76" i="1"/>
  <c r="R76" i="1"/>
  <c r="N76" i="1"/>
  <c r="M76" i="1"/>
  <c r="X110" i="1"/>
  <c r="W110" i="1"/>
  <c r="V110" i="1"/>
  <c r="T110" i="1"/>
  <c r="R110" i="1"/>
  <c r="N110" i="1"/>
  <c r="M110" i="1"/>
  <c r="X47" i="1"/>
  <c r="W47" i="1"/>
  <c r="V47" i="1"/>
  <c r="T47" i="1"/>
  <c r="R47" i="1"/>
  <c r="N47" i="1"/>
  <c r="M47" i="1"/>
  <c r="X135" i="1"/>
  <c r="W135" i="1"/>
  <c r="V135" i="1"/>
  <c r="T135" i="1"/>
  <c r="R135" i="1"/>
  <c r="N135" i="1"/>
  <c r="M135" i="1"/>
  <c r="X114" i="1"/>
  <c r="W114" i="1"/>
  <c r="V114" i="1"/>
  <c r="T114" i="1"/>
  <c r="R114" i="1"/>
  <c r="N114" i="1"/>
  <c r="M114" i="1"/>
  <c r="X157" i="1"/>
  <c r="W157" i="1"/>
  <c r="V157" i="1"/>
  <c r="T157" i="1"/>
  <c r="R157" i="1"/>
  <c r="N157" i="1"/>
  <c r="M157" i="1"/>
  <c r="X119" i="1"/>
  <c r="W119" i="1"/>
  <c r="V119" i="1"/>
  <c r="T119" i="1"/>
  <c r="R119" i="1"/>
  <c r="N119" i="1"/>
  <c r="M119" i="1"/>
  <c r="X160" i="1"/>
  <c r="W160" i="1"/>
  <c r="V160" i="1"/>
  <c r="T160" i="1"/>
  <c r="R160" i="1"/>
  <c r="N160" i="1"/>
  <c r="M160" i="1"/>
  <c r="X28" i="1"/>
  <c r="W28" i="1"/>
  <c r="V28" i="1"/>
  <c r="T28" i="1"/>
  <c r="R28" i="1"/>
  <c r="N28" i="1"/>
  <c r="M28" i="1"/>
  <c r="X103" i="1"/>
  <c r="W103" i="1"/>
  <c r="V103" i="1"/>
  <c r="T103" i="1"/>
  <c r="R103" i="1"/>
  <c r="N103" i="1"/>
  <c r="M103" i="1"/>
  <c r="X111" i="1"/>
  <c r="W111" i="1"/>
  <c r="V111" i="1"/>
  <c r="T111" i="1"/>
  <c r="R111" i="1"/>
  <c r="N111" i="1"/>
  <c r="M111" i="1"/>
  <c r="X48" i="1"/>
  <c r="W48" i="1"/>
  <c r="V48" i="1"/>
  <c r="T48" i="1"/>
  <c r="R48" i="1"/>
  <c r="N48" i="1"/>
  <c r="M48" i="1"/>
  <c r="X137" i="1"/>
  <c r="W137" i="1"/>
  <c r="V137" i="1"/>
  <c r="T137" i="1"/>
  <c r="R137" i="1"/>
  <c r="N137" i="1"/>
  <c r="M137" i="1"/>
  <c r="X71" i="1"/>
  <c r="W71" i="1"/>
  <c r="V71" i="1"/>
  <c r="T71" i="1"/>
  <c r="R71" i="1"/>
  <c r="N71" i="1"/>
  <c r="M71" i="1"/>
  <c r="X153" i="1"/>
  <c r="W153" i="1"/>
  <c r="V153" i="1"/>
  <c r="T153" i="1"/>
  <c r="R153" i="1"/>
  <c r="N153" i="1"/>
  <c r="M153" i="1"/>
  <c r="X59" i="1"/>
  <c r="W59" i="1"/>
  <c r="V59" i="1"/>
  <c r="T59" i="1"/>
  <c r="R59" i="1"/>
  <c r="N59" i="1"/>
  <c r="M59" i="1"/>
  <c r="X127" i="1"/>
  <c r="W127" i="1"/>
  <c r="V127" i="1"/>
  <c r="T127" i="1"/>
  <c r="R127" i="1"/>
  <c r="N127" i="1"/>
  <c r="M127" i="1"/>
  <c r="X78" i="1"/>
  <c r="W78" i="1"/>
  <c r="V78" i="1"/>
  <c r="T78" i="1"/>
  <c r="R78" i="1"/>
  <c r="N78" i="1"/>
  <c r="M78" i="1"/>
  <c r="X83" i="1"/>
  <c r="W83" i="1"/>
  <c r="V83" i="1"/>
  <c r="T83" i="1"/>
  <c r="R83" i="1"/>
  <c r="N83" i="1"/>
  <c r="M83" i="1"/>
  <c r="X56" i="1"/>
  <c r="W56" i="1"/>
  <c r="V56" i="1"/>
  <c r="T56" i="1"/>
  <c r="R56" i="1"/>
  <c r="N56" i="1"/>
  <c r="M56" i="1"/>
  <c r="X85" i="1"/>
  <c r="W85" i="1"/>
  <c r="V85" i="1"/>
  <c r="T85" i="1"/>
  <c r="R85" i="1"/>
  <c r="N85" i="1"/>
  <c r="M85" i="1"/>
  <c r="X30" i="1"/>
  <c r="W30" i="1"/>
  <c r="V30" i="1"/>
  <c r="T30" i="1"/>
  <c r="R30" i="1"/>
  <c r="N30" i="1"/>
  <c r="M30" i="1"/>
  <c r="X112" i="1"/>
  <c r="W112" i="1"/>
  <c r="V112" i="1"/>
  <c r="T112" i="1"/>
  <c r="R112" i="1"/>
  <c r="N112" i="1"/>
  <c r="M112" i="1"/>
  <c r="X106" i="1"/>
  <c r="W106" i="1"/>
  <c r="V106" i="1"/>
  <c r="T106" i="1"/>
  <c r="R106" i="1"/>
  <c r="N106" i="1"/>
  <c r="M106" i="1"/>
  <c r="X117" i="1"/>
  <c r="W117" i="1"/>
  <c r="V117" i="1"/>
  <c r="T117" i="1"/>
  <c r="R117" i="1"/>
  <c r="N117" i="1"/>
  <c r="M117" i="1"/>
  <c r="X124" i="1"/>
  <c r="W124" i="1"/>
  <c r="V124" i="1"/>
  <c r="T124" i="1"/>
  <c r="R124" i="1"/>
  <c r="N124" i="1"/>
  <c r="M124" i="1"/>
  <c r="X172" i="1"/>
  <c r="W172" i="1"/>
  <c r="V172" i="1"/>
  <c r="T172" i="1"/>
  <c r="R172" i="1"/>
  <c r="N172" i="1"/>
  <c r="M172" i="1"/>
  <c r="X41" i="1"/>
  <c r="W41" i="1"/>
  <c r="V41" i="1"/>
  <c r="T41" i="1"/>
  <c r="R41" i="1"/>
  <c r="N41" i="1"/>
  <c r="M41" i="1"/>
  <c r="X166" i="1"/>
  <c r="W166" i="1"/>
  <c r="V166" i="1"/>
  <c r="T166" i="1"/>
  <c r="R166" i="1"/>
  <c r="N166" i="1"/>
  <c r="M166" i="1"/>
  <c r="X147" i="1"/>
  <c r="W147" i="1"/>
  <c r="V147" i="1"/>
  <c r="T147" i="1"/>
  <c r="R147" i="1"/>
  <c r="N147" i="1"/>
  <c r="M147" i="1"/>
  <c r="X69" i="1"/>
  <c r="W69" i="1"/>
  <c r="V69" i="1"/>
  <c r="T69" i="1"/>
  <c r="R69" i="1"/>
  <c r="N69" i="1"/>
  <c r="M69" i="1"/>
  <c r="X84" i="1"/>
  <c r="W84" i="1"/>
  <c r="V84" i="1"/>
  <c r="T84" i="1"/>
  <c r="R84" i="1"/>
  <c r="N84" i="1"/>
  <c r="M84" i="1"/>
  <c r="X140" i="1"/>
  <c r="W140" i="1"/>
  <c r="V140" i="1"/>
  <c r="T140" i="1"/>
  <c r="R140" i="1"/>
  <c r="N140" i="1"/>
  <c r="M140" i="1"/>
  <c r="X39" i="1"/>
  <c r="W39" i="1"/>
  <c r="V39" i="1"/>
  <c r="T39" i="1"/>
  <c r="R39" i="1"/>
  <c r="N39" i="1"/>
  <c r="M39" i="1"/>
  <c r="X43" i="1"/>
  <c r="W43" i="1"/>
  <c r="V43" i="1"/>
  <c r="T43" i="1"/>
  <c r="R43" i="1"/>
  <c r="N43" i="1"/>
  <c r="M43" i="1"/>
  <c r="X87" i="1"/>
  <c r="W87" i="1"/>
  <c r="V87" i="1"/>
  <c r="T87" i="1"/>
  <c r="R87" i="1"/>
  <c r="N87" i="1"/>
  <c r="M87" i="1"/>
  <c r="X99" i="1"/>
  <c r="W99" i="1"/>
  <c r="V99" i="1"/>
  <c r="T99" i="1"/>
  <c r="R99" i="1"/>
  <c r="N99" i="1"/>
  <c r="M99" i="1"/>
  <c r="X88" i="1"/>
  <c r="W88" i="1"/>
  <c r="V88" i="1"/>
  <c r="T88" i="1"/>
  <c r="R88" i="1"/>
  <c r="N88" i="1"/>
  <c r="M88" i="1"/>
  <c r="X22" i="1"/>
  <c r="W22" i="1"/>
  <c r="V22" i="1"/>
  <c r="T22" i="1"/>
  <c r="R22" i="1"/>
  <c r="N22" i="1"/>
  <c r="M22" i="1"/>
  <c r="X123" i="1"/>
  <c r="W123" i="1"/>
  <c r="V123" i="1"/>
  <c r="T123" i="1"/>
  <c r="R123" i="1"/>
  <c r="N123" i="1"/>
  <c r="M123" i="1"/>
  <c r="X23" i="1"/>
  <c r="W23" i="1"/>
  <c r="V23" i="1"/>
  <c r="T23" i="1"/>
  <c r="R23" i="1"/>
  <c r="N23" i="1"/>
  <c r="M23" i="1"/>
  <c r="X138" i="1"/>
  <c r="W138" i="1"/>
  <c r="V138" i="1"/>
  <c r="T138" i="1"/>
  <c r="R138" i="1"/>
  <c r="N138" i="1"/>
  <c r="M138" i="1"/>
  <c r="X169" i="1"/>
  <c r="W169" i="1"/>
  <c r="V169" i="1"/>
  <c r="T169" i="1"/>
  <c r="R169" i="1"/>
  <c r="N169" i="1"/>
  <c r="M169" i="1"/>
  <c r="X63" i="1"/>
  <c r="W63" i="1"/>
  <c r="V63" i="1"/>
  <c r="T63" i="1"/>
  <c r="R63" i="1"/>
  <c r="N63" i="1"/>
  <c r="M63" i="1"/>
  <c r="X64" i="1"/>
  <c r="W64" i="1"/>
  <c r="V64" i="1"/>
  <c r="T64" i="1"/>
  <c r="R64" i="1"/>
  <c r="N64" i="1"/>
  <c r="M64" i="1"/>
  <c r="X67" i="1"/>
  <c r="W67" i="1"/>
  <c r="V67" i="1"/>
  <c r="T67" i="1"/>
  <c r="R67" i="1"/>
  <c r="N67" i="1"/>
  <c r="M67" i="1"/>
  <c r="X25" i="1"/>
  <c r="W25" i="1"/>
  <c r="V25" i="1"/>
  <c r="T25" i="1"/>
  <c r="R25" i="1"/>
  <c r="N25" i="1"/>
  <c r="M25" i="1"/>
  <c r="X121" i="1"/>
  <c r="W121" i="1"/>
  <c r="V121" i="1"/>
  <c r="T121" i="1"/>
  <c r="R121" i="1"/>
  <c r="N121" i="1"/>
  <c r="M121" i="1"/>
  <c r="X45" i="1"/>
  <c r="W45" i="1"/>
  <c r="V45" i="1"/>
  <c r="T45" i="1"/>
  <c r="R45" i="1"/>
  <c r="N45" i="1"/>
  <c r="M45" i="1"/>
  <c r="X107" i="1"/>
  <c r="W107" i="1"/>
  <c r="V107" i="1"/>
  <c r="T107" i="1"/>
  <c r="R107" i="1"/>
  <c r="N107" i="1"/>
  <c r="M107" i="1"/>
  <c r="X92" i="1"/>
  <c r="W92" i="1"/>
  <c r="V92" i="1"/>
  <c r="T92" i="1"/>
  <c r="R92" i="1"/>
  <c r="N92" i="1"/>
  <c r="M92" i="1"/>
  <c r="X116" i="1"/>
  <c r="W116" i="1"/>
  <c r="V116" i="1"/>
  <c r="T116" i="1"/>
  <c r="R116" i="1"/>
  <c r="N116" i="1"/>
  <c r="M116" i="1"/>
  <c r="X54" i="1"/>
  <c r="W54" i="1"/>
  <c r="V54" i="1"/>
  <c r="T54" i="1"/>
  <c r="R54" i="1"/>
  <c r="N54" i="1"/>
  <c r="M54" i="1"/>
  <c r="X73" i="1"/>
  <c r="W73" i="1"/>
  <c r="V73" i="1"/>
  <c r="T73" i="1"/>
  <c r="R73" i="1"/>
  <c r="N73" i="1"/>
  <c r="M73" i="1"/>
  <c r="X97" i="1"/>
  <c r="W97" i="1"/>
  <c r="V97" i="1"/>
  <c r="T97" i="1"/>
  <c r="R97" i="1"/>
  <c r="N97" i="1"/>
  <c r="M97" i="1"/>
  <c r="X36" i="1"/>
  <c r="W36" i="1"/>
  <c r="V36" i="1"/>
  <c r="T36" i="1"/>
  <c r="R36" i="1"/>
  <c r="N36" i="1"/>
  <c r="M36" i="1"/>
  <c r="X128" i="1"/>
  <c r="W128" i="1"/>
  <c r="V128" i="1"/>
  <c r="T128" i="1"/>
  <c r="R128" i="1"/>
  <c r="N128" i="1"/>
  <c r="M128" i="1"/>
  <c r="X105" i="1"/>
  <c r="W105" i="1"/>
  <c r="V105" i="1"/>
  <c r="T105" i="1"/>
  <c r="R105" i="1"/>
  <c r="N105" i="1"/>
  <c r="M105" i="1"/>
  <c r="X120" i="1"/>
  <c r="W120" i="1"/>
  <c r="V120" i="1"/>
  <c r="T120" i="1"/>
  <c r="R120" i="1"/>
  <c r="N120" i="1"/>
  <c r="M120" i="1"/>
  <c r="X113" i="1"/>
  <c r="W113" i="1"/>
  <c r="V113" i="1"/>
  <c r="T113" i="1"/>
  <c r="R113" i="1"/>
  <c r="N113" i="1"/>
  <c r="M113" i="1"/>
  <c r="X145" i="1"/>
  <c r="W145" i="1"/>
  <c r="V145" i="1"/>
  <c r="T145" i="1"/>
  <c r="R145" i="1"/>
  <c r="N145" i="1"/>
  <c r="M145" i="1"/>
  <c r="X139" i="1"/>
  <c r="W139" i="1"/>
  <c r="V139" i="1"/>
  <c r="T139" i="1"/>
  <c r="R139" i="1"/>
  <c r="N139" i="1"/>
  <c r="M139" i="1"/>
  <c r="X150" i="1"/>
  <c r="W150" i="1"/>
  <c r="V150" i="1"/>
  <c r="T150" i="1"/>
  <c r="R150" i="1"/>
  <c r="N150" i="1"/>
  <c r="M150" i="1"/>
  <c r="X51" i="1"/>
  <c r="W51" i="1"/>
  <c r="V51" i="1"/>
  <c r="T51" i="1"/>
  <c r="R51" i="1"/>
  <c r="N51" i="1"/>
  <c r="M51" i="1"/>
  <c r="X89" i="1"/>
  <c r="W89" i="1"/>
  <c r="V89" i="1"/>
  <c r="T89" i="1"/>
  <c r="R89" i="1"/>
  <c r="N89" i="1"/>
  <c r="M89" i="1"/>
  <c r="X68" i="1"/>
  <c r="W68" i="1"/>
  <c r="V68" i="1"/>
  <c r="T68" i="1"/>
  <c r="R68" i="1"/>
  <c r="N68" i="1"/>
  <c r="M68" i="1"/>
  <c r="X75" i="1"/>
  <c r="W75" i="1"/>
  <c r="V75" i="1"/>
  <c r="T75" i="1"/>
  <c r="R75" i="1"/>
  <c r="N75" i="1"/>
  <c r="M75" i="1"/>
  <c r="X61" i="1"/>
  <c r="W61" i="1"/>
  <c r="V61" i="1"/>
  <c r="T61" i="1"/>
  <c r="R61" i="1"/>
  <c r="N61" i="1"/>
  <c r="M61" i="1"/>
  <c r="Q17" i="1"/>
  <c r="P17" i="1"/>
  <c r="S16" i="1"/>
  <c r="Q15" i="1"/>
  <c r="P15" i="1"/>
  <c r="Q14" i="1"/>
  <c r="P14" i="1"/>
  <c r="Q13" i="1"/>
  <c r="P13" i="1"/>
  <c r="N134" i="3" l="1"/>
  <c r="F92" i="1"/>
  <c r="N15" i="1"/>
  <c r="N14" i="1"/>
  <c r="N13" i="1"/>
  <c r="M14" i="1"/>
  <c r="N17" i="1"/>
  <c r="R17" i="1"/>
  <c r="M13" i="1"/>
  <c r="R13" i="1"/>
  <c r="R15" i="1"/>
  <c r="F132" i="1"/>
  <c r="M15" i="1"/>
  <c r="I85" i="1"/>
  <c r="F56" i="1"/>
  <c r="F83" i="1"/>
  <c r="I136" i="1"/>
  <c r="G65" i="1"/>
  <c r="F173" i="1"/>
  <c r="G143" i="1"/>
  <c r="R14" i="1"/>
  <c r="I97" i="1"/>
  <c r="K73" i="1"/>
  <c r="E54" i="1"/>
  <c r="I116" i="1"/>
  <c r="M17" i="1"/>
  <c r="F67" i="1"/>
  <c r="I166" i="1"/>
  <c r="F172" i="1"/>
  <c r="I163" i="1"/>
  <c r="F170" i="1"/>
  <c r="E148" i="1"/>
  <c r="J22" i="1"/>
  <c r="I137" i="1"/>
  <c r="F48" i="1"/>
  <c r="F111" i="1"/>
  <c r="I42" i="1"/>
  <c r="G174" i="1"/>
  <c r="J25" i="1"/>
  <c r="E23" i="1"/>
  <c r="F41" i="1"/>
  <c r="F98" i="1"/>
  <c r="J51" i="1"/>
  <c r="J150" i="1"/>
  <c r="G139" i="1"/>
  <c r="F23" i="1"/>
  <c r="G123" i="1"/>
  <c r="E22" i="1"/>
  <c r="J99" i="1"/>
  <c r="F87" i="1"/>
  <c r="G43" i="1"/>
  <c r="I114" i="1"/>
  <c r="F135" i="1"/>
  <c r="F47" i="1"/>
  <c r="I141" i="1"/>
  <c r="K152" i="1"/>
  <c r="E33" i="1"/>
  <c r="K21" i="1"/>
  <c r="J77" i="1"/>
  <c r="K58" i="1"/>
  <c r="E82" i="1"/>
  <c r="I79" i="1"/>
  <c r="G61" i="1"/>
  <c r="I139" i="1"/>
  <c r="F145" i="1"/>
  <c r="F113" i="1"/>
  <c r="G92" i="1"/>
  <c r="J107" i="1"/>
  <c r="G67" i="1"/>
  <c r="I64" i="1"/>
  <c r="K123" i="1"/>
  <c r="J43" i="1"/>
  <c r="J39" i="1"/>
  <c r="G140" i="1"/>
  <c r="J172" i="1"/>
  <c r="J124" i="1"/>
  <c r="G117" i="1"/>
  <c r="J83" i="1"/>
  <c r="J78" i="1"/>
  <c r="G127" i="1"/>
  <c r="J111" i="1"/>
  <c r="J103" i="1"/>
  <c r="G28" i="1"/>
  <c r="J47" i="1"/>
  <c r="J110" i="1"/>
  <c r="G76" i="1"/>
  <c r="J98" i="1"/>
  <c r="K132" i="1"/>
  <c r="E57" i="1"/>
  <c r="G146" i="1"/>
  <c r="G50" i="1"/>
  <c r="J49" i="1"/>
  <c r="F24" i="1"/>
  <c r="K155" i="1"/>
  <c r="E53" i="1"/>
  <c r="I60" i="1"/>
  <c r="F129" i="1"/>
  <c r="E81" i="1"/>
  <c r="G178" i="1"/>
  <c r="F34" i="1"/>
  <c r="K90" i="1"/>
  <c r="E38" i="1"/>
  <c r="I93" i="1"/>
  <c r="F104" i="1"/>
  <c r="K115" i="1"/>
  <c r="E62" i="1"/>
  <c r="G109" i="1"/>
  <c r="J61" i="1"/>
  <c r="J75" i="1"/>
  <c r="G68" i="1"/>
  <c r="J113" i="1"/>
  <c r="J120" i="1"/>
  <c r="G105" i="1"/>
  <c r="I128" i="1"/>
  <c r="K107" i="1"/>
  <c r="F45" i="1"/>
  <c r="G121" i="1"/>
  <c r="J64" i="1"/>
  <c r="F63" i="1"/>
  <c r="F169" i="1"/>
  <c r="F88" i="1"/>
  <c r="I140" i="1"/>
  <c r="F84" i="1"/>
  <c r="F69" i="1"/>
  <c r="I117" i="1"/>
  <c r="F106" i="1"/>
  <c r="F112" i="1"/>
  <c r="I127" i="1"/>
  <c r="F59" i="1"/>
  <c r="F153" i="1"/>
  <c r="I28" i="1"/>
  <c r="F160" i="1"/>
  <c r="F119" i="1"/>
  <c r="I76" i="1"/>
  <c r="F96" i="1"/>
  <c r="F144" i="1"/>
  <c r="I50" i="1"/>
  <c r="G126" i="1"/>
  <c r="K24" i="1"/>
  <c r="E164" i="1"/>
  <c r="F151" i="1"/>
  <c r="G129" i="1"/>
  <c r="J31" i="1"/>
  <c r="G104" i="1"/>
  <c r="J154" i="1"/>
  <c r="K168" i="1"/>
  <c r="E79" i="1"/>
  <c r="E91" i="1"/>
  <c r="I68" i="1"/>
  <c r="F89" i="1"/>
  <c r="F51" i="1"/>
  <c r="J128" i="1"/>
  <c r="G36" i="1"/>
  <c r="E97" i="1"/>
  <c r="K121" i="1"/>
  <c r="E25" i="1"/>
  <c r="I169" i="1"/>
  <c r="K138" i="1"/>
  <c r="G88" i="1"/>
  <c r="I99" i="1"/>
  <c r="J69" i="1"/>
  <c r="J147" i="1"/>
  <c r="G166" i="1"/>
  <c r="J112" i="1"/>
  <c r="J30" i="1"/>
  <c r="G85" i="1"/>
  <c r="J153" i="1"/>
  <c r="J71" i="1"/>
  <c r="G137" i="1"/>
  <c r="J119" i="1"/>
  <c r="J157" i="1"/>
  <c r="G114" i="1"/>
  <c r="J144" i="1"/>
  <c r="J167" i="1"/>
  <c r="G163" i="1"/>
  <c r="K151" i="1"/>
  <c r="E179" i="1"/>
  <c r="J149" i="1"/>
  <c r="F44" i="1"/>
  <c r="F141" i="1"/>
  <c r="J94" i="1"/>
  <c r="F136" i="1"/>
  <c r="J161" i="1"/>
  <c r="I77" i="1"/>
  <c r="E61" i="1"/>
  <c r="K61" i="1"/>
  <c r="E150" i="1"/>
  <c r="K113" i="1"/>
  <c r="K105" i="1"/>
  <c r="G73" i="1"/>
  <c r="K92" i="1"/>
  <c r="E107" i="1"/>
  <c r="E64" i="1"/>
  <c r="F138" i="1"/>
  <c r="F22" i="1"/>
  <c r="K88" i="1"/>
  <c r="E99" i="1"/>
  <c r="E39" i="1"/>
  <c r="G84" i="1"/>
  <c r="K69" i="1"/>
  <c r="E147" i="1"/>
  <c r="K172" i="1"/>
  <c r="E124" i="1"/>
  <c r="G106" i="1"/>
  <c r="K112" i="1"/>
  <c r="E30" i="1"/>
  <c r="G56" i="1"/>
  <c r="K83" i="1"/>
  <c r="E78" i="1"/>
  <c r="G59" i="1"/>
  <c r="K153" i="1"/>
  <c r="E71" i="1"/>
  <c r="G48" i="1"/>
  <c r="K111" i="1"/>
  <c r="E103" i="1"/>
  <c r="G160" i="1"/>
  <c r="K119" i="1"/>
  <c r="E157" i="1"/>
  <c r="G135" i="1"/>
  <c r="K47" i="1"/>
  <c r="E110" i="1"/>
  <c r="G96" i="1"/>
  <c r="K144" i="1"/>
  <c r="E167" i="1"/>
  <c r="G170" i="1"/>
  <c r="K98" i="1"/>
  <c r="F80" i="1"/>
  <c r="F57" i="1"/>
  <c r="J126" i="1"/>
  <c r="I156" i="1"/>
  <c r="F164" i="1"/>
  <c r="G179" i="1"/>
  <c r="I142" i="1"/>
  <c r="F130" i="1"/>
  <c r="K31" i="1"/>
  <c r="E72" i="1"/>
  <c r="I175" i="1"/>
  <c r="F134" i="1"/>
  <c r="F33" i="1"/>
  <c r="G159" i="1"/>
  <c r="K173" i="1"/>
  <c r="E125" i="1"/>
  <c r="G34" i="1"/>
  <c r="J174" i="1"/>
  <c r="I29" i="1"/>
  <c r="I118" i="1"/>
  <c r="K165" i="1"/>
  <c r="F74" i="1"/>
  <c r="K133" i="1"/>
  <c r="E27" i="1"/>
  <c r="K143" i="1"/>
  <c r="J143" i="1"/>
  <c r="E143" i="1"/>
  <c r="G82" i="1"/>
  <c r="I58" i="1"/>
  <c r="K37" i="1"/>
  <c r="G37" i="1"/>
  <c r="I148" i="1"/>
  <c r="K62" i="1"/>
  <c r="G62" i="1"/>
  <c r="I115" i="1"/>
  <c r="K86" i="1"/>
  <c r="G86" i="1"/>
  <c r="I91" i="1"/>
  <c r="K122" i="1"/>
  <c r="F122" i="1"/>
  <c r="G79" i="1"/>
  <c r="I168" i="1"/>
  <c r="J95" i="1"/>
  <c r="E95" i="1"/>
  <c r="K70" i="1"/>
  <c r="F70" i="1"/>
  <c r="G131" i="1"/>
  <c r="I102" i="1"/>
  <c r="J109" i="1"/>
  <c r="E109" i="1"/>
  <c r="K66" i="1"/>
  <c r="F66" i="1"/>
  <c r="G27" i="1"/>
  <c r="I133" i="1"/>
  <c r="J158" i="1"/>
  <c r="E158" i="1"/>
  <c r="K177" i="1"/>
  <c r="F177" i="1"/>
  <c r="G176" i="1"/>
  <c r="I46" i="1"/>
  <c r="G100" i="1"/>
  <c r="I55" i="1"/>
  <c r="J74" i="1"/>
  <c r="J165" i="1"/>
  <c r="E165" i="1"/>
  <c r="J101" i="1"/>
  <c r="E101" i="1"/>
  <c r="G162" i="1"/>
  <c r="I35" i="1"/>
  <c r="I154" i="1"/>
  <c r="J104" i="1"/>
  <c r="E104" i="1"/>
  <c r="K93" i="1"/>
  <c r="F93" i="1"/>
  <c r="G38" i="1"/>
  <c r="I90" i="1"/>
  <c r="J40" i="1"/>
  <c r="E40" i="1"/>
  <c r="K26" i="1"/>
  <c r="F26" i="1"/>
  <c r="G29" i="1"/>
  <c r="I174" i="1"/>
  <c r="J42" i="1"/>
  <c r="J108" i="1"/>
  <c r="E108" i="1"/>
  <c r="J178" i="1"/>
  <c r="E178" i="1"/>
  <c r="G81" i="1"/>
  <c r="J32" i="1"/>
  <c r="F32" i="1"/>
  <c r="G52" i="1"/>
  <c r="J171" i="1"/>
  <c r="F171" i="1"/>
  <c r="G77" i="1"/>
  <c r="J21" i="1"/>
  <c r="F21" i="1"/>
  <c r="G161" i="1"/>
  <c r="J125" i="1"/>
  <c r="F125" i="1"/>
  <c r="G173" i="1"/>
  <c r="J65" i="1"/>
  <c r="F65" i="1"/>
  <c r="G136" i="1"/>
  <c r="I143" i="1"/>
  <c r="K82" i="1"/>
  <c r="F82" i="1"/>
  <c r="G58" i="1"/>
  <c r="J37" i="1"/>
  <c r="F37" i="1"/>
  <c r="G148" i="1"/>
  <c r="J62" i="1"/>
  <c r="F62" i="1"/>
  <c r="G115" i="1"/>
  <c r="J86" i="1"/>
  <c r="F86" i="1"/>
  <c r="G91" i="1"/>
  <c r="J122" i="1"/>
  <c r="E122" i="1"/>
  <c r="K79" i="1"/>
  <c r="F79" i="1"/>
  <c r="G168" i="1"/>
  <c r="I95" i="1"/>
  <c r="J70" i="1"/>
  <c r="E70" i="1"/>
  <c r="K131" i="1"/>
  <c r="F131" i="1"/>
  <c r="G102" i="1"/>
  <c r="I109" i="1"/>
  <c r="J66" i="1"/>
  <c r="E66" i="1"/>
  <c r="K27" i="1"/>
  <c r="F27" i="1"/>
  <c r="G133" i="1"/>
  <c r="I158" i="1"/>
  <c r="J177" i="1"/>
  <c r="E177" i="1"/>
  <c r="K176" i="1"/>
  <c r="F176" i="1"/>
  <c r="G46" i="1"/>
  <c r="H46" i="1" s="1"/>
  <c r="K100" i="1"/>
  <c r="F100" i="1"/>
  <c r="G55" i="1"/>
  <c r="I74" i="1"/>
  <c r="I165" i="1"/>
  <c r="K118" i="1"/>
  <c r="G118" i="1"/>
  <c r="I101" i="1"/>
  <c r="K162" i="1"/>
  <c r="F162" i="1"/>
  <c r="G35" i="1"/>
  <c r="G154" i="1"/>
  <c r="I104" i="1"/>
  <c r="J93" i="1"/>
  <c r="L93" i="1" s="1"/>
  <c r="E93" i="1"/>
  <c r="K38" i="1"/>
  <c r="F38" i="1"/>
  <c r="G90" i="1"/>
  <c r="I40" i="1"/>
  <c r="J26" i="1"/>
  <c r="F143" i="1"/>
  <c r="J82" i="1"/>
  <c r="F58" i="1"/>
  <c r="E37" i="1"/>
  <c r="K148" i="1"/>
  <c r="I62" i="1"/>
  <c r="F115" i="1"/>
  <c r="E86" i="1"/>
  <c r="K91" i="1"/>
  <c r="I122" i="1"/>
  <c r="J168" i="1"/>
  <c r="F95" i="1"/>
  <c r="I70" i="1"/>
  <c r="J102" i="1"/>
  <c r="F109" i="1"/>
  <c r="I66" i="1"/>
  <c r="J133" i="1"/>
  <c r="F158" i="1"/>
  <c r="I177" i="1"/>
  <c r="J46" i="1"/>
  <c r="J100" i="1"/>
  <c r="F55" i="1"/>
  <c r="G165" i="1"/>
  <c r="E118" i="1"/>
  <c r="K101" i="1"/>
  <c r="E162" i="1"/>
  <c r="K35" i="1"/>
  <c r="F154" i="1"/>
  <c r="G93" i="1"/>
  <c r="J38" i="1"/>
  <c r="F90" i="1"/>
  <c r="G26" i="1"/>
  <c r="F29" i="1"/>
  <c r="F174" i="1"/>
  <c r="F42" i="1"/>
  <c r="K108" i="1"/>
  <c r="J34" i="1"/>
  <c r="E34" i="1"/>
  <c r="K178" i="1"/>
  <c r="J81" i="1"/>
  <c r="K32" i="1"/>
  <c r="E32" i="1"/>
  <c r="K52" i="1"/>
  <c r="E52" i="1"/>
  <c r="G171" i="1"/>
  <c r="F77" i="1"/>
  <c r="I161" i="1"/>
  <c r="I125" i="1"/>
  <c r="J173" i="1"/>
  <c r="K65" i="1"/>
  <c r="E65" i="1"/>
  <c r="K136" i="1"/>
  <c r="E136" i="1"/>
  <c r="J159" i="1"/>
  <c r="E159" i="1"/>
  <c r="J152" i="1"/>
  <c r="E152" i="1"/>
  <c r="J44" i="1"/>
  <c r="E44" i="1"/>
  <c r="J134" i="1"/>
  <c r="E134" i="1"/>
  <c r="K175" i="1"/>
  <c r="F175" i="1"/>
  <c r="G72" i="1"/>
  <c r="I31" i="1"/>
  <c r="J129" i="1"/>
  <c r="E129" i="1"/>
  <c r="K60" i="1"/>
  <c r="F60" i="1"/>
  <c r="G53" i="1"/>
  <c r="I155" i="1"/>
  <c r="J130" i="1"/>
  <c r="E130" i="1"/>
  <c r="K142" i="1"/>
  <c r="F142" i="1"/>
  <c r="I82" i="1"/>
  <c r="E58" i="1"/>
  <c r="J148" i="1"/>
  <c r="E115" i="1"/>
  <c r="J91" i="1"/>
  <c r="G122" i="1"/>
  <c r="J79" i="1"/>
  <c r="F168" i="1"/>
  <c r="G70" i="1"/>
  <c r="J131" i="1"/>
  <c r="F102" i="1"/>
  <c r="G66" i="1"/>
  <c r="J27" i="1"/>
  <c r="F133" i="1"/>
  <c r="G177" i="1"/>
  <c r="J176" i="1"/>
  <c r="I100" i="1"/>
  <c r="E55" i="1"/>
  <c r="K74" i="1"/>
  <c r="F165" i="1"/>
  <c r="J118" i="1"/>
  <c r="G101" i="1"/>
  <c r="J35" i="1"/>
  <c r="E154" i="1"/>
  <c r="K104" i="1"/>
  <c r="I38" i="1"/>
  <c r="E90" i="1"/>
  <c r="K40" i="1"/>
  <c r="E26" i="1"/>
  <c r="K29" i="1"/>
  <c r="E29" i="1"/>
  <c r="K174" i="1"/>
  <c r="E174" i="1"/>
  <c r="K42" i="1"/>
  <c r="I108" i="1"/>
  <c r="I34" i="1"/>
  <c r="I178" i="1"/>
  <c r="I81" i="1"/>
  <c r="I32" i="1"/>
  <c r="J52" i="1"/>
  <c r="K171" i="1"/>
  <c r="E171" i="1"/>
  <c r="K77" i="1"/>
  <c r="E77" i="1"/>
  <c r="G21" i="1"/>
  <c r="F161" i="1"/>
  <c r="I173" i="1"/>
  <c r="I65" i="1"/>
  <c r="J136" i="1"/>
  <c r="L136" i="1" s="1"/>
  <c r="K94" i="1"/>
  <c r="G94" i="1"/>
  <c r="I159" i="1"/>
  <c r="K33" i="1"/>
  <c r="G33" i="1"/>
  <c r="I152" i="1"/>
  <c r="K141" i="1"/>
  <c r="G141" i="1"/>
  <c r="I44" i="1"/>
  <c r="K149" i="1"/>
  <c r="G149" i="1"/>
  <c r="I134" i="1"/>
  <c r="J175" i="1"/>
  <c r="E175" i="1"/>
  <c r="K72" i="1"/>
  <c r="F72" i="1"/>
  <c r="G31" i="1"/>
  <c r="I129" i="1"/>
  <c r="J60" i="1"/>
  <c r="E60" i="1"/>
  <c r="K53" i="1"/>
  <c r="F53" i="1"/>
  <c r="H53" i="1" s="1"/>
  <c r="G155" i="1"/>
  <c r="I130" i="1"/>
  <c r="J142" i="1"/>
  <c r="E142" i="1"/>
  <c r="K179" i="1"/>
  <c r="F179" i="1"/>
  <c r="G151" i="1"/>
  <c r="I164" i="1"/>
  <c r="J24" i="1"/>
  <c r="E24" i="1"/>
  <c r="K49" i="1"/>
  <c r="F49" i="1"/>
  <c r="G156" i="1"/>
  <c r="I126" i="1"/>
  <c r="J50" i="1"/>
  <c r="E50" i="1"/>
  <c r="K146" i="1"/>
  <c r="F146" i="1"/>
  <c r="G57" i="1"/>
  <c r="I132" i="1"/>
  <c r="J80" i="1"/>
  <c r="E80" i="1"/>
  <c r="J58" i="1"/>
  <c r="I37" i="1"/>
  <c r="J115" i="1"/>
  <c r="I86" i="1"/>
  <c r="E168" i="1"/>
  <c r="K95" i="1"/>
  <c r="I131" i="1"/>
  <c r="E133" i="1"/>
  <c r="K158" i="1"/>
  <c r="I176" i="1"/>
  <c r="F118" i="1"/>
  <c r="F101" i="1"/>
  <c r="J162" i="1"/>
  <c r="J90" i="1"/>
  <c r="G40" i="1"/>
  <c r="G42" i="1"/>
  <c r="G108" i="1"/>
  <c r="F178" i="1"/>
  <c r="K81" i="1"/>
  <c r="G32" i="1"/>
  <c r="I52" i="1"/>
  <c r="I21" i="1"/>
  <c r="K125" i="1"/>
  <c r="E173" i="1"/>
  <c r="I94" i="1"/>
  <c r="F159" i="1"/>
  <c r="J33" i="1"/>
  <c r="G152" i="1"/>
  <c r="E141" i="1"/>
  <c r="K44" i="1"/>
  <c r="F149" i="1"/>
  <c r="G175" i="1"/>
  <c r="J72" i="1"/>
  <c r="F31" i="1"/>
  <c r="G60" i="1"/>
  <c r="J53" i="1"/>
  <c r="F155" i="1"/>
  <c r="G142" i="1"/>
  <c r="J179" i="1"/>
  <c r="J151" i="1"/>
  <c r="J164" i="1"/>
  <c r="I24" i="1"/>
  <c r="G49" i="1"/>
  <c r="F156" i="1"/>
  <c r="F126" i="1"/>
  <c r="F50" i="1"/>
  <c r="J146" i="1"/>
  <c r="J57" i="1"/>
  <c r="J132" i="1"/>
  <c r="I80" i="1"/>
  <c r="I98" i="1"/>
  <c r="J170" i="1"/>
  <c r="E170" i="1"/>
  <c r="K163" i="1"/>
  <c r="F163" i="1"/>
  <c r="G167" i="1"/>
  <c r="I144" i="1"/>
  <c r="J96" i="1"/>
  <c r="E96" i="1"/>
  <c r="K76" i="1"/>
  <c r="F76" i="1"/>
  <c r="G110" i="1"/>
  <c r="I47" i="1"/>
  <c r="L47" i="1" s="1"/>
  <c r="J135" i="1"/>
  <c r="E135" i="1"/>
  <c r="K114" i="1"/>
  <c r="F114" i="1"/>
  <c r="G157" i="1"/>
  <c r="I119" i="1"/>
  <c r="J160" i="1"/>
  <c r="E160" i="1"/>
  <c r="H160" i="1" s="1"/>
  <c r="K28" i="1"/>
  <c r="F28" i="1"/>
  <c r="G103" i="1"/>
  <c r="I111" i="1"/>
  <c r="J48" i="1"/>
  <c r="E48" i="1"/>
  <c r="K137" i="1"/>
  <c r="F137" i="1"/>
  <c r="G71" i="1"/>
  <c r="I153" i="1"/>
  <c r="J59" i="1"/>
  <c r="E59" i="1"/>
  <c r="K127" i="1"/>
  <c r="F127" i="1"/>
  <c r="G78" i="1"/>
  <c r="I83" i="1"/>
  <c r="J56" i="1"/>
  <c r="E56" i="1"/>
  <c r="K85" i="1"/>
  <c r="F85" i="1"/>
  <c r="G30" i="1"/>
  <c r="I112" i="1"/>
  <c r="J106" i="1"/>
  <c r="E106" i="1"/>
  <c r="K117" i="1"/>
  <c r="F117" i="1"/>
  <c r="G124" i="1"/>
  <c r="I172" i="1"/>
  <c r="J41" i="1"/>
  <c r="E41" i="1"/>
  <c r="K166" i="1"/>
  <c r="F166" i="1"/>
  <c r="G147" i="1"/>
  <c r="I69" i="1"/>
  <c r="J84" i="1"/>
  <c r="E84" i="1"/>
  <c r="K140" i="1"/>
  <c r="F140" i="1"/>
  <c r="G39" i="1"/>
  <c r="I43" i="1"/>
  <c r="J87" i="1"/>
  <c r="E87" i="1"/>
  <c r="J88" i="1"/>
  <c r="E88" i="1"/>
  <c r="J123" i="1"/>
  <c r="E123" i="1"/>
  <c r="J138" i="1"/>
  <c r="E138" i="1"/>
  <c r="J63" i="1"/>
  <c r="E63" i="1"/>
  <c r="J67" i="1"/>
  <c r="E67" i="1"/>
  <c r="J121" i="1"/>
  <c r="E121" i="1"/>
  <c r="I107" i="1"/>
  <c r="J92" i="1"/>
  <c r="E92" i="1"/>
  <c r="K116" i="1"/>
  <c r="F116" i="1"/>
  <c r="G54" i="1"/>
  <c r="J73" i="1"/>
  <c r="F73" i="1"/>
  <c r="G97" i="1"/>
  <c r="J36" i="1"/>
  <c r="F36" i="1"/>
  <c r="G128" i="1"/>
  <c r="J105" i="1"/>
  <c r="F105" i="1"/>
  <c r="G120" i="1"/>
  <c r="I113" i="1"/>
  <c r="J145" i="1"/>
  <c r="E145" i="1"/>
  <c r="K139" i="1"/>
  <c r="F139" i="1"/>
  <c r="G150" i="1"/>
  <c r="I51" i="1"/>
  <c r="J89" i="1"/>
  <c r="E89" i="1"/>
  <c r="K68" i="1"/>
  <c r="F68" i="1"/>
  <c r="G75" i="1"/>
  <c r="I61" i="1"/>
  <c r="F148" i="1"/>
  <c r="F91" i="1"/>
  <c r="G95" i="1"/>
  <c r="E131" i="1"/>
  <c r="K102" i="1"/>
  <c r="G158" i="1"/>
  <c r="E176" i="1"/>
  <c r="K46" i="1"/>
  <c r="E100" i="1"/>
  <c r="H100" i="1" s="1"/>
  <c r="K55" i="1"/>
  <c r="I162" i="1"/>
  <c r="F35" i="1"/>
  <c r="K154" i="1"/>
  <c r="F40" i="1"/>
  <c r="I26" i="1"/>
  <c r="L26" i="1" s="1"/>
  <c r="J29" i="1"/>
  <c r="F108" i="1"/>
  <c r="K34" i="1"/>
  <c r="F81" i="1"/>
  <c r="F52" i="1"/>
  <c r="I171" i="1"/>
  <c r="E21" i="1"/>
  <c r="K161" i="1"/>
  <c r="G125" i="1"/>
  <c r="F94" i="1"/>
  <c r="I33" i="1"/>
  <c r="F152" i="1"/>
  <c r="J141" i="1"/>
  <c r="G44" i="1"/>
  <c r="E149" i="1"/>
  <c r="H149" i="1" s="1"/>
  <c r="K134" i="1"/>
  <c r="I72" i="1"/>
  <c r="E31" i="1"/>
  <c r="K129" i="1"/>
  <c r="I53" i="1"/>
  <c r="E155" i="1"/>
  <c r="K130" i="1"/>
  <c r="I179" i="1"/>
  <c r="L179" i="1" s="1"/>
  <c r="I151" i="1"/>
  <c r="G164" i="1"/>
  <c r="G24" i="1"/>
  <c r="E49" i="1"/>
  <c r="K156" i="1"/>
  <c r="E156" i="1"/>
  <c r="K126" i="1"/>
  <c r="E126" i="1"/>
  <c r="K50" i="1"/>
  <c r="I146" i="1"/>
  <c r="I57" i="1"/>
  <c r="G132" i="1"/>
  <c r="G80" i="1"/>
  <c r="G98" i="1"/>
  <c r="I170" i="1"/>
  <c r="J163" i="1"/>
  <c r="E163" i="1"/>
  <c r="K167" i="1"/>
  <c r="F167" i="1"/>
  <c r="G144" i="1"/>
  <c r="I96" i="1"/>
  <c r="J76" i="1"/>
  <c r="E76" i="1"/>
  <c r="K110" i="1"/>
  <c r="F110" i="1"/>
  <c r="G47" i="1"/>
  <c r="I135" i="1"/>
  <c r="J114" i="1"/>
  <c r="E114" i="1"/>
  <c r="K157" i="1"/>
  <c r="F157" i="1"/>
  <c r="G119" i="1"/>
  <c r="I160" i="1"/>
  <c r="J28" i="1"/>
  <c r="E28" i="1"/>
  <c r="K103" i="1"/>
  <c r="F103" i="1"/>
  <c r="G111" i="1"/>
  <c r="I48" i="1"/>
  <c r="J137" i="1"/>
  <c r="E137" i="1"/>
  <c r="K71" i="1"/>
  <c r="F71" i="1"/>
  <c r="G153" i="1"/>
  <c r="I59" i="1"/>
  <c r="J127" i="1"/>
  <c r="E127" i="1"/>
  <c r="K78" i="1"/>
  <c r="F78" i="1"/>
  <c r="G83" i="1"/>
  <c r="I56" i="1"/>
  <c r="J85" i="1"/>
  <c r="E85" i="1"/>
  <c r="K30" i="1"/>
  <c r="F30" i="1"/>
  <c r="G112" i="1"/>
  <c r="I106" i="1"/>
  <c r="J117" i="1"/>
  <c r="E117" i="1"/>
  <c r="K124" i="1"/>
  <c r="F124" i="1"/>
  <c r="G172" i="1"/>
  <c r="I41" i="1"/>
  <c r="J166" i="1"/>
  <c r="E166" i="1"/>
  <c r="K147" i="1"/>
  <c r="F147" i="1"/>
  <c r="G69" i="1"/>
  <c r="I84" i="1"/>
  <c r="J140" i="1"/>
  <c r="E140" i="1"/>
  <c r="K39" i="1"/>
  <c r="F39" i="1"/>
  <c r="I87" i="1"/>
  <c r="K99" i="1"/>
  <c r="G99" i="1"/>
  <c r="I88" i="1"/>
  <c r="K22" i="1"/>
  <c r="G22" i="1"/>
  <c r="I123" i="1"/>
  <c r="K23" i="1"/>
  <c r="G23" i="1"/>
  <c r="I138" i="1"/>
  <c r="K169" i="1"/>
  <c r="G169" i="1"/>
  <c r="I63" i="1"/>
  <c r="K64" i="1"/>
  <c r="G64" i="1"/>
  <c r="I67" i="1"/>
  <c r="K25" i="1"/>
  <c r="G25" i="1"/>
  <c r="I121" i="1"/>
  <c r="K45" i="1"/>
  <c r="G45" i="1"/>
  <c r="G107" i="1"/>
  <c r="I92" i="1"/>
  <c r="J116" i="1"/>
  <c r="E116" i="1"/>
  <c r="K54" i="1"/>
  <c r="F54" i="1"/>
  <c r="H54" i="1" s="1"/>
  <c r="I73" i="1"/>
  <c r="E73" i="1"/>
  <c r="K97" i="1"/>
  <c r="F97" i="1"/>
  <c r="I36" i="1"/>
  <c r="E36" i="1"/>
  <c r="K128" i="1"/>
  <c r="F128" i="1"/>
  <c r="I105" i="1"/>
  <c r="E105" i="1"/>
  <c r="K120" i="1"/>
  <c r="F120" i="1"/>
  <c r="G113" i="1"/>
  <c r="I145" i="1"/>
  <c r="J139" i="1"/>
  <c r="E139" i="1"/>
  <c r="K150" i="1"/>
  <c r="F150" i="1"/>
  <c r="G51" i="1"/>
  <c r="I89" i="1"/>
  <c r="J68" i="1"/>
  <c r="E68" i="1"/>
  <c r="K75" i="1"/>
  <c r="F75" i="1"/>
  <c r="E75" i="1"/>
  <c r="G89" i="1"/>
  <c r="K51" i="1"/>
  <c r="G145" i="1"/>
  <c r="E120" i="1"/>
  <c r="J97" i="1"/>
  <c r="I54" i="1"/>
  <c r="I45" i="1"/>
  <c r="F25" i="1"/>
  <c r="K67" i="1"/>
  <c r="G63" i="1"/>
  <c r="J169" i="1"/>
  <c r="I23" i="1"/>
  <c r="G87" i="1"/>
  <c r="K43" i="1"/>
  <c r="G41" i="1"/>
  <c r="F61" i="1"/>
  <c r="I75" i="1"/>
  <c r="K89" i="1"/>
  <c r="E51" i="1"/>
  <c r="I150" i="1"/>
  <c r="K145" i="1"/>
  <c r="E113" i="1"/>
  <c r="I120" i="1"/>
  <c r="E128" i="1"/>
  <c r="K36" i="1"/>
  <c r="J54" i="1"/>
  <c r="G116" i="1"/>
  <c r="F107" i="1"/>
  <c r="J45" i="1"/>
  <c r="F121" i="1"/>
  <c r="I25" i="1"/>
  <c r="F64" i="1"/>
  <c r="K63" i="1"/>
  <c r="E169" i="1"/>
  <c r="G138" i="1"/>
  <c r="J23" i="1"/>
  <c r="F123" i="1"/>
  <c r="I22" i="1"/>
  <c r="F99" i="1"/>
  <c r="K87" i="1"/>
  <c r="F43" i="1"/>
  <c r="I39" i="1"/>
  <c r="K84" i="1"/>
  <c r="E69" i="1"/>
  <c r="I147" i="1"/>
  <c r="K41" i="1"/>
  <c r="E172" i="1"/>
  <c r="I124" i="1"/>
  <c r="K106" i="1"/>
  <c r="E112" i="1"/>
  <c r="I30" i="1"/>
  <c r="K56" i="1"/>
  <c r="E83" i="1"/>
  <c r="I78" i="1"/>
  <c r="K59" i="1"/>
  <c r="E153" i="1"/>
  <c r="I71" i="1"/>
  <c r="K48" i="1"/>
  <c r="E111" i="1"/>
  <c r="I103" i="1"/>
  <c r="K160" i="1"/>
  <c r="E119" i="1"/>
  <c r="I157" i="1"/>
  <c r="K135" i="1"/>
  <c r="E47" i="1"/>
  <c r="I110" i="1"/>
  <c r="K96" i="1"/>
  <c r="E144" i="1"/>
  <c r="I167" i="1"/>
  <c r="K170" i="1"/>
  <c r="E98" i="1"/>
  <c r="K80" i="1"/>
  <c r="E132" i="1"/>
  <c r="K57" i="1"/>
  <c r="E146" i="1"/>
  <c r="J156" i="1"/>
  <c r="I49" i="1"/>
  <c r="K164" i="1"/>
  <c r="E151" i="1"/>
  <c r="G130" i="1"/>
  <c r="J155" i="1"/>
  <c r="G134" i="1"/>
  <c r="I149" i="1"/>
  <c r="K159" i="1"/>
  <c r="E94" i="1"/>
  <c r="E161" i="1"/>
  <c r="G74" i="1"/>
  <c r="H74" i="1" s="1"/>
  <c r="J55" i="1"/>
  <c r="I27" i="1"/>
  <c r="K109" i="1"/>
  <c r="E102" i="1"/>
  <c r="L2" i="4"/>
  <c r="L1" i="4"/>
  <c r="L3" i="4"/>
  <c r="H23" i="1" l="1"/>
  <c r="L150" i="1"/>
  <c r="H148" i="1"/>
  <c r="L107" i="1"/>
  <c r="L77" i="1"/>
  <c r="H34" i="1"/>
  <c r="L71" i="1"/>
  <c r="H45" i="1"/>
  <c r="H104" i="1"/>
  <c r="H144" i="1"/>
  <c r="H137" i="1"/>
  <c r="H114" i="1"/>
  <c r="L151" i="1"/>
  <c r="H176" i="1"/>
  <c r="H42" i="1"/>
  <c r="H72" i="1"/>
  <c r="H73" i="1"/>
  <c r="L178" i="1"/>
  <c r="L134" i="1"/>
  <c r="H65" i="1"/>
  <c r="H43" i="1"/>
  <c r="L124" i="1"/>
  <c r="H69" i="1"/>
  <c r="L73" i="1"/>
  <c r="S73" i="1" s="1"/>
  <c r="U73" i="1" s="1"/>
  <c r="L60" i="1"/>
  <c r="L110" i="1"/>
  <c r="H119" i="1"/>
  <c r="L78" i="1"/>
  <c r="H112" i="1"/>
  <c r="L39" i="1"/>
  <c r="L99" i="1"/>
  <c r="L24" i="1"/>
  <c r="H159" i="1"/>
  <c r="L176" i="1"/>
  <c r="S176" i="1" s="1"/>
  <c r="U176" i="1" s="1"/>
  <c r="H90" i="1"/>
  <c r="L35" i="1"/>
  <c r="H132" i="1"/>
  <c r="H105" i="1"/>
  <c r="L146" i="1"/>
  <c r="H155" i="1"/>
  <c r="L141" i="1"/>
  <c r="H35" i="1"/>
  <c r="L69" i="1"/>
  <c r="L94" i="1"/>
  <c r="H57" i="1"/>
  <c r="H122" i="1"/>
  <c r="H50" i="1"/>
  <c r="L28" i="1"/>
  <c r="L113" i="1"/>
  <c r="H79" i="1"/>
  <c r="H97" i="1"/>
  <c r="L128" i="1"/>
  <c r="L80" i="1"/>
  <c r="H166" i="1"/>
  <c r="H163" i="1"/>
  <c r="H92" i="1"/>
  <c r="L121" i="1"/>
  <c r="L123" i="1"/>
  <c r="L155" i="1"/>
  <c r="L161" i="1"/>
  <c r="L33" i="1"/>
  <c r="H154" i="1"/>
  <c r="H179" i="1"/>
  <c r="S179" i="1" s="1"/>
  <c r="U179" i="1" s="1"/>
  <c r="H59" i="1"/>
  <c r="H24" i="1"/>
  <c r="L57" i="1"/>
  <c r="J13" i="1"/>
  <c r="H113" i="1"/>
  <c r="L139" i="1"/>
  <c r="L64" i="1"/>
  <c r="L138" i="1"/>
  <c r="H167" i="1"/>
  <c r="L170" i="1"/>
  <c r="L137" i="1"/>
  <c r="S137" i="1" s="1"/>
  <c r="L114" i="1"/>
  <c r="L21" i="1"/>
  <c r="H142" i="1"/>
  <c r="L79" i="1"/>
  <c r="L122" i="1"/>
  <c r="L62" i="1"/>
  <c r="H80" i="1"/>
  <c r="L27" i="1"/>
  <c r="H36" i="1"/>
  <c r="L87" i="1"/>
  <c r="L117" i="1"/>
  <c r="L127" i="1"/>
  <c r="L157" i="1"/>
  <c r="H156" i="1"/>
  <c r="H52" i="1"/>
  <c r="H131" i="1"/>
  <c r="H41" i="1"/>
  <c r="L112" i="1"/>
  <c r="H48" i="1"/>
  <c r="H170" i="1"/>
  <c r="H141" i="1"/>
  <c r="L50" i="1"/>
  <c r="H151" i="1"/>
  <c r="S151" i="1" s="1"/>
  <c r="L81" i="1"/>
  <c r="H58" i="1"/>
  <c r="H130" i="1"/>
  <c r="H60" i="1"/>
  <c r="S60" i="1" s="1"/>
  <c r="U60" i="1" s="1"/>
  <c r="L104" i="1"/>
  <c r="S104" i="1" s="1"/>
  <c r="U104" i="1" s="1"/>
  <c r="H70" i="1"/>
  <c r="H95" i="1"/>
  <c r="H82" i="1"/>
  <c r="H96" i="1"/>
  <c r="H138" i="1"/>
  <c r="L63" i="1"/>
  <c r="H123" i="1"/>
  <c r="H56" i="1"/>
  <c r="H28" i="1"/>
  <c r="H76" i="1"/>
  <c r="H33" i="1"/>
  <c r="H171" i="1"/>
  <c r="L38" i="1"/>
  <c r="L31" i="1"/>
  <c r="H177" i="1"/>
  <c r="L97" i="1"/>
  <c r="H116" i="1"/>
  <c r="L76" i="1"/>
  <c r="S76" i="1" s="1"/>
  <c r="H63" i="1"/>
  <c r="H127" i="1"/>
  <c r="L119" i="1"/>
  <c r="L142" i="1"/>
  <c r="H31" i="1"/>
  <c r="H161" i="1"/>
  <c r="H55" i="1"/>
  <c r="H136" i="1"/>
  <c r="S136" i="1" s="1"/>
  <c r="U136" i="1" s="1"/>
  <c r="H38" i="1"/>
  <c r="H62" i="1"/>
  <c r="L90" i="1"/>
  <c r="L102" i="1"/>
  <c r="L118" i="1"/>
  <c r="H39" i="1"/>
  <c r="L103" i="1"/>
  <c r="H153" i="1"/>
  <c r="L56" i="1"/>
  <c r="H25" i="1"/>
  <c r="H120" i="1"/>
  <c r="L105" i="1"/>
  <c r="L36" i="1"/>
  <c r="L88" i="1"/>
  <c r="H85" i="1"/>
  <c r="H173" i="1"/>
  <c r="H174" i="1"/>
  <c r="L82" i="1"/>
  <c r="L66" i="1"/>
  <c r="H86" i="1"/>
  <c r="H37" i="1"/>
  <c r="H22" i="1"/>
  <c r="H94" i="1"/>
  <c r="F14" i="1"/>
  <c r="L140" i="1"/>
  <c r="L167" i="1"/>
  <c r="H164" i="1"/>
  <c r="H121" i="1"/>
  <c r="L153" i="1"/>
  <c r="H135" i="1"/>
  <c r="L144" i="1"/>
  <c r="S144" i="1" s="1"/>
  <c r="U144" i="1" s="1"/>
  <c r="H168" i="1"/>
  <c r="L173" i="1"/>
  <c r="L70" i="1"/>
  <c r="L109" i="1"/>
  <c r="L143" i="1"/>
  <c r="H158" i="1"/>
  <c r="H157" i="1"/>
  <c r="H30" i="1"/>
  <c r="H102" i="1"/>
  <c r="L149" i="1"/>
  <c r="S149" i="1" s="1"/>
  <c r="H146" i="1"/>
  <c r="S146" i="1" s="1"/>
  <c r="U146" i="1" s="1"/>
  <c r="L120" i="1"/>
  <c r="H51" i="1"/>
  <c r="L169" i="1"/>
  <c r="L45" i="1"/>
  <c r="L92" i="1"/>
  <c r="L166" i="1"/>
  <c r="L85" i="1"/>
  <c r="L163" i="1"/>
  <c r="H49" i="1"/>
  <c r="H91" i="1"/>
  <c r="H67" i="1"/>
  <c r="H88" i="1"/>
  <c r="H84" i="1"/>
  <c r="H106" i="1"/>
  <c r="L83" i="1"/>
  <c r="L65" i="1"/>
  <c r="H165" i="1"/>
  <c r="H115" i="1"/>
  <c r="H129" i="1"/>
  <c r="H44" i="1"/>
  <c r="L177" i="1"/>
  <c r="L61" i="1"/>
  <c r="I13" i="1"/>
  <c r="H87" i="1"/>
  <c r="L165" i="1"/>
  <c r="L46" i="1"/>
  <c r="S46" i="1" s="1"/>
  <c r="U46" i="1" s="1"/>
  <c r="L148" i="1"/>
  <c r="S148" i="1" s="1"/>
  <c r="G14" i="1"/>
  <c r="H89" i="1"/>
  <c r="E14" i="1"/>
  <c r="I17" i="1"/>
  <c r="S69" i="1"/>
  <c r="H128" i="1"/>
  <c r="S128" i="1" s="1"/>
  <c r="U128" i="1" s="1"/>
  <c r="F17" i="1"/>
  <c r="F13" i="1"/>
  <c r="J17" i="1"/>
  <c r="L116" i="1"/>
  <c r="G17" i="1"/>
  <c r="L42" i="1"/>
  <c r="S42" i="1" s="1"/>
  <c r="U42" i="1" s="1"/>
  <c r="H27" i="1"/>
  <c r="H125" i="1"/>
  <c r="H134" i="1"/>
  <c r="S134" i="1" s="1"/>
  <c r="U134" i="1" s="1"/>
  <c r="L156" i="1"/>
  <c r="K17" i="1"/>
  <c r="K13" i="1"/>
  <c r="H68" i="1"/>
  <c r="E17" i="1"/>
  <c r="L72" i="1"/>
  <c r="L30" i="1"/>
  <c r="I15" i="1"/>
  <c r="H98" i="1"/>
  <c r="H111" i="1"/>
  <c r="H172" i="1"/>
  <c r="L25" i="1"/>
  <c r="L23" i="1"/>
  <c r="S23" i="1" s="1"/>
  <c r="U23" i="1" s="1"/>
  <c r="H75" i="1"/>
  <c r="L67" i="1"/>
  <c r="G15" i="1"/>
  <c r="L84" i="1"/>
  <c r="L106" i="1"/>
  <c r="L59" i="1"/>
  <c r="L160" i="1"/>
  <c r="S160" i="1" s="1"/>
  <c r="L96" i="1"/>
  <c r="L53" i="1"/>
  <c r="S53" i="1" s="1"/>
  <c r="H152" i="1"/>
  <c r="H81" i="1"/>
  <c r="L162" i="1"/>
  <c r="J14" i="1"/>
  <c r="H101" i="1"/>
  <c r="H133" i="1"/>
  <c r="L86" i="1"/>
  <c r="L126" i="1"/>
  <c r="L130" i="1"/>
  <c r="H26" i="1"/>
  <c r="S26" i="1" s="1"/>
  <c r="U26" i="1" s="1"/>
  <c r="L100" i="1"/>
  <c r="S100" i="1" s="1"/>
  <c r="U100" i="1" s="1"/>
  <c r="L152" i="1"/>
  <c r="L125" i="1"/>
  <c r="H118" i="1"/>
  <c r="L74" i="1"/>
  <c r="S74" i="1" s="1"/>
  <c r="U74" i="1" s="1"/>
  <c r="H178" i="1"/>
  <c r="S178" i="1" s="1"/>
  <c r="U178" i="1" s="1"/>
  <c r="L115" i="1"/>
  <c r="H143" i="1"/>
  <c r="L29" i="1"/>
  <c r="L175" i="1"/>
  <c r="H110" i="1"/>
  <c r="H78" i="1"/>
  <c r="S78" i="1" s="1"/>
  <c r="H147" i="1"/>
  <c r="H99" i="1"/>
  <c r="H64" i="1"/>
  <c r="H61" i="1"/>
  <c r="E13" i="1"/>
  <c r="L68" i="1"/>
  <c r="L22" i="1"/>
  <c r="H169" i="1"/>
  <c r="E15" i="1"/>
  <c r="L89" i="1"/>
  <c r="K14" i="1"/>
  <c r="J15" i="1"/>
  <c r="I14" i="1"/>
  <c r="H139" i="1"/>
  <c r="K15" i="1"/>
  <c r="H126" i="1"/>
  <c r="H21" i="1"/>
  <c r="L51" i="1"/>
  <c r="H145" i="1"/>
  <c r="L43" i="1"/>
  <c r="F15" i="1"/>
  <c r="L172" i="1"/>
  <c r="L111" i="1"/>
  <c r="L98" i="1"/>
  <c r="L131" i="1"/>
  <c r="L52" i="1"/>
  <c r="L34" i="1"/>
  <c r="S34" i="1" s="1"/>
  <c r="L40" i="1"/>
  <c r="H93" i="1"/>
  <c r="S93" i="1" s="1"/>
  <c r="L158" i="1"/>
  <c r="H66" i="1"/>
  <c r="L95" i="1"/>
  <c r="L174" i="1"/>
  <c r="H40" i="1"/>
  <c r="L154" i="1"/>
  <c r="L101" i="1"/>
  <c r="L55" i="1"/>
  <c r="L133" i="1"/>
  <c r="H109" i="1"/>
  <c r="L168" i="1"/>
  <c r="L91" i="1"/>
  <c r="G13" i="1"/>
  <c r="H71" i="1"/>
  <c r="S71" i="1" s="1"/>
  <c r="H107" i="1"/>
  <c r="S107" i="1" s="1"/>
  <c r="U107" i="1" s="1"/>
  <c r="L49" i="1"/>
  <c r="H47" i="1"/>
  <c r="S47" i="1" s="1"/>
  <c r="U47" i="1" s="1"/>
  <c r="H83" i="1"/>
  <c r="L147" i="1"/>
  <c r="L145" i="1"/>
  <c r="L54" i="1"/>
  <c r="S54" i="1" s="1"/>
  <c r="L75" i="1"/>
  <c r="H140" i="1"/>
  <c r="L41" i="1"/>
  <c r="H117" i="1"/>
  <c r="L48" i="1"/>
  <c r="S48" i="1" s="1"/>
  <c r="L135" i="1"/>
  <c r="L171" i="1"/>
  <c r="L37" i="1"/>
  <c r="L132" i="1"/>
  <c r="S132" i="1" s="1"/>
  <c r="U132" i="1" s="1"/>
  <c r="L164" i="1"/>
  <c r="L129" i="1"/>
  <c r="H175" i="1"/>
  <c r="L32" i="1"/>
  <c r="L108" i="1"/>
  <c r="H29" i="1"/>
  <c r="L44" i="1"/>
  <c r="L159" i="1"/>
  <c r="H77" i="1"/>
  <c r="S77" i="1" s="1"/>
  <c r="U77" i="1" s="1"/>
  <c r="H32" i="1"/>
  <c r="H162" i="1"/>
  <c r="H108" i="1"/>
  <c r="L58" i="1"/>
  <c r="H103" i="1"/>
  <c r="S103" i="1" s="1"/>
  <c r="U103" i="1" s="1"/>
  <c r="H124" i="1"/>
  <c r="H150" i="1"/>
  <c r="S150" i="1" s="1"/>
  <c r="S114" i="1" l="1"/>
  <c r="S72" i="1"/>
  <c r="U72" i="1" s="1"/>
  <c r="S87" i="1"/>
  <c r="U87" i="1" s="1"/>
  <c r="S45" i="1"/>
  <c r="U45" i="1" s="1"/>
  <c r="S55" i="1"/>
  <c r="S65" i="1"/>
  <c r="S62" i="1"/>
  <c r="U62" i="1" s="1"/>
  <c r="S156" i="1"/>
  <c r="U156" i="1" s="1"/>
  <c r="S157" i="1"/>
  <c r="U157" i="1" s="1"/>
  <c r="S43" i="1"/>
  <c r="U43" i="1" s="1"/>
  <c r="S70" i="1"/>
  <c r="U70" i="1" s="1"/>
  <c r="S141" i="1"/>
  <c r="U141" i="1" s="1"/>
  <c r="S57" i="1"/>
  <c r="S105" i="1"/>
  <c r="S124" i="1"/>
  <c r="S118" i="1"/>
  <c r="U118" i="1" s="1"/>
  <c r="S110" i="1"/>
  <c r="U110" i="1" s="1"/>
  <c r="S122" i="1"/>
  <c r="U122" i="1" s="1"/>
  <c r="S35" i="1"/>
  <c r="U35" i="1" s="1"/>
  <c r="S39" i="1"/>
  <c r="U39" i="1" s="1"/>
  <c r="S90" i="1"/>
  <c r="U90" i="1" s="1"/>
  <c r="S97" i="1"/>
  <c r="U97" i="1" s="1"/>
  <c r="S175" i="1"/>
  <c r="U175" i="1" s="1"/>
  <c r="S81" i="1"/>
  <c r="U81" i="1" s="1"/>
  <c r="S50" i="1"/>
  <c r="U50" i="1" s="1"/>
  <c r="S162" i="1"/>
  <c r="U162" i="1" s="1"/>
  <c r="S44" i="1"/>
  <c r="U44" i="1" s="1"/>
  <c r="S99" i="1"/>
  <c r="U99" i="1" s="1"/>
  <c r="S119" i="1"/>
  <c r="U119" i="1" s="1"/>
  <c r="S155" i="1"/>
  <c r="U155" i="1" s="1"/>
  <c r="S31" i="1"/>
  <c r="U31" i="1" s="1"/>
  <c r="S158" i="1"/>
  <c r="U158" i="1" s="1"/>
  <c r="S67" i="1"/>
  <c r="U67" i="1" s="1"/>
  <c r="S37" i="1"/>
  <c r="U37" i="1" s="1"/>
  <c r="S174" i="1"/>
  <c r="U174" i="1" s="1"/>
  <c r="S131" i="1"/>
  <c r="U131" i="1" s="1"/>
  <c r="S21" i="1"/>
  <c r="U21" i="1" s="1"/>
  <c r="S92" i="1"/>
  <c r="U92" i="1" s="1"/>
  <c r="S94" i="1"/>
  <c r="U94" i="1" s="1"/>
  <c r="S28" i="1"/>
  <c r="U28" i="1" s="1"/>
  <c r="S96" i="1"/>
  <c r="U96" i="1" s="1"/>
  <c r="S24" i="1"/>
  <c r="U24" i="1" s="1"/>
  <c r="S138" i="1"/>
  <c r="U138" i="1" s="1"/>
  <c r="S170" i="1"/>
  <c r="U170" i="1" s="1"/>
  <c r="S58" i="1"/>
  <c r="S171" i="1"/>
  <c r="U171" i="1" s="1"/>
  <c r="S41" i="1"/>
  <c r="U41" i="1" s="1"/>
  <c r="S159" i="1"/>
  <c r="U159" i="1" s="1"/>
  <c r="S139" i="1"/>
  <c r="U139" i="1" s="1"/>
  <c r="S121" i="1"/>
  <c r="U121" i="1" s="1"/>
  <c r="S63" i="1"/>
  <c r="U63" i="1" s="1"/>
  <c r="S112" i="1"/>
  <c r="U112" i="1" s="1"/>
  <c r="S80" i="1"/>
  <c r="U80" i="1" s="1"/>
  <c r="S64" i="1"/>
  <c r="U64" i="1" s="1"/>
  <c r="S130" i="1"/>
  <c r="S109" i="1"/>
  <c r="U109" i="1" s="1"/>
  <c r="S154" i="1"/>
  <c r="U154" i="1" s="1"/>
  <c r="S66" i="1"/>
  <c r="S84" i="1"/>
  <c r="U84" i="1" s="1"/>
  <c r="S115" i="1"/>
  <c r="S166" i="1"/>
  <c r="U166" i="1" s="1"/>
  <c r="S116" i="1"/>
  <c r="S33" i="1"/>
  <c r="U33" i="1" s="1"/>
  <c r="S123" i="1"/>
  <c r="U123" i="1" s="1"/>
  <c r="S113" i="1"/>
  <c r="U113" i="1" s="1"/>
  <c r="S142" i="1"/>
  <c r="U142" i="1" s="1"/>
  <c r="S79" i="1"/>
  <c r="U79" i="1" s="1"/>
  <c r="S163" i="1"/>
  <c r="U163" i="1" s="1"/>
  <c r="S117" i="1"/>
  <c r="U117" i="1" s="1"/>
  <c r="S102" i="1"/>
  <c r="S168" i="1"/>
  <c r="S52" i="1"/>
  <c r="S61" i="1"/>
  <c r="U61" i="1" s="1"/>
  <c r="S143" i="1"/>
  <c r="U143" i="1" s="1"/>
  <c r="S36" i="1"/>
  <c r="U36" i="1" s="1"/>
  <c r="S49" i="1"/>
  <c r="U49" i="1" s="1"/>
  <c r="S167" i="1"/>
  <c r="U167" i="1" s="1"/>
  <c r="S164" i="1"/>
  <c r="S59" i="1"/>
  <c r="U59" i="1" s="1"/>
  <c r="S165" i="1"/>
  <c r="U165" i="1" s="1"/>
  <c r="S153" i="1"/>
  <c r="U153" i="1" s="1"/>
  <c r="S82" i="1"/>
  <c r="U82" i="1" s="1"/>
  <c r="S161" i="1"/>
  <c r="U161" i="1" s="1"/>
  <c r="S127" i="1"/>
  <c r="U127" i="1" s="1"/>
  <c r="S38" i="1"/>
  <c r="S32" i="1"/>
  <c r="S172" i="1"/>
  <c r="U172" i="1" s="1"/>
  <c r="S91" i="1"/>
  <c r="U91" i="1" s="1"/>
  <c r="S106" i="1"/>
  <c r="S177" i="1"/>
  <c r="S56" i="1"/>
  <c r="U56" i="1" s="1"/>
  <c r="S140" i="1"/>
  <c r="S95" i="1"/>
  <c r="S27" i="1"/>
  <c r="S88" i="1"/>
  <c r="S173" i="1"/>
  <c r="U173" i="1" s="1"/>
  <c r="S51" i="1"/>
  <c r="S22" i="1"/>
  <c r="U22" i="1" s="1"/>
  <c r="S25" i="1"/>
  <c r="U25" i="1" s="1"/>
  <c r="S129" i="1"/>
  <c r="U129" i="1" s="1"/>
  <c r="S120" i="1"/>
  <c r="U105" i="1"/>
  <c r="U76" i="1"/>
  <c r="U78" i="1"/>
  <c r="H17" i="1"/>
  <c r="S135" i="1"/>
  <c r="S145" i="1"/>
  <c r="S86" i="1"/>
  <c r="U86" i="1" s="1"/>
  <c r="S68" i="1"/>
  <c r="U68" i="1" s="1"/>
  <c r="S85" i="1"/>
  <c r="L14" i="1"/>
  <c r="L15" i="1"/>
  <c r="S169" i="1"/>
  <c r="S83" i="1"/>
  <c r="S147" i="1"/>
  <c r="U147" i="1" s="1"/>
  <c r="U54" i="1"/>
  <c r="U55" i="1"/>
  <c r="U130" i="1"/>
  <c r="U53" i="1"/>
  <c r="U48" i="1"/>
  <c r="U71" i="1"/>
  <c r="U34" i="1"/>
  <c r="U148" i="1"/>
  <c r="U65" i="1"/>
  <c r="U149" i="1"/>
  <c r="S75" i="1"/>
  <c r="S111" i="1"/>
  <c r="S125" i="1"/>
  <c r="U124" i="1"/>
  <c r="L13" i="1"/>
  <c r="U69" i="1"/>
  <c r="S30" i="1"/>
  <c r="U30" i="1" s="1"/>
  <c r="L17" i="1"/>
  <c r="S40" i="1"/>
  <c r="S133" i="1"/>
  <c r="S98" i="1"/>
  <c r="H15" i="1"/>
  <c r="H14" i="1"/>
  <c r="H13" i="1"/>
  <c r="U150" i="1"/>
  <c r="S108" i="1"/>
  <c r="S29" i="1"/>
  <c r="U93" i="1"/>
  <c r="S126" i="1"/>
  <c r="S101" i="1"/>
  <c r="S152" i="1"/>
  <c r="S89" i="1"/>
  <c r="U151" i="1"/>
  <c r="U57" i="1"/>
  <c r="U137" i="1"/>
  <c r="U160" i="1"/>
  <c r="U114" i="1"/>
  <c r="U95" i="1" l="1"/>
  <c r="U58" i="1"/>
  <c r="U135" i="1"/>
  <c r="U102" i="1"/>
  <c r="U115" i="1"/>
  <c r="U164" i="1"/>
  <c r="U168" i="1"/>
  <c r="U116" i="1"/>
  <c r="U38" i="1"/>
  <c r="U66" i="1"/>
  <c r="U52" i="1"/>
  <c r="U32" i="1"/>
  <c r="S17" i="1"/>
  <c r="U140" i="1"/>
  <c r="S15" i="1"/>
  <c r="U88" i="1"/>
  <c r="U120" i="1"/>
  <c r="U51" i="1"/>
  <c r="U27" i="1"/>
  <c r="U177" i="1"/>
  <c r="S13" i="1"/>
  <c r="U106" i="1"/>
  <c r="U83" i="1"/>
  <c r="U169" i="1"/>
  <c r="U145" i="1"/>
  <c r="U85" i="1"/>
  <c r="U133" i="1"/>
  <c r="U125" i="1"/>
  <c r="S14" i="1"/>
  <c r="U89" i="1"/>
  <c r="U40" i="1"/>
  <c r="U29" i="1"/>
  <c r="U111" i="1"/>
  <c r="U152" i="1"/>
  <c r="U108" i="1"/>
  <c r="U101" i="1"/>
  <c r="U126" i="1"/>
  <c r="U98" i="1"/>
  <c r="U75" i="1"/>
  <c r="Y6" i="1" l="1"/>
  <c r="Y7" i="1"/>
  <c r="V4" i="1"/>
  <c r="V10" i="1"/>
  <c r="V8" i="1"/>
  <c r="W6" i="1"/>
  <c r="W5" i="1"/>
  <c r="W4" i="1"/>
  <c r="W8" i="1"/>
  <c r="W9" i="1"/>
  <c r="Y4" i="1"/>
  <c r="Y5" i="1"/>
  <c r="X7" i="1"/>
  <c r="V7" i="1"/>
  <c r="Y9" i="1"/>
  <c r="W7" i="1"/>
  <c r="X4" i="1"/>
  <c r="X8" i="1"/>
  <c r="V6" i="1"/>
  <c r="X10" i="1"/>
  <c r="Y10" i="1"/>
  <c r="X5" i="1"/>
  <c r="X6" i="1"/>
  <c r="W10" i="1"/>
  <c r="V9" i="1"/>
  <c r="V5" i="1"/>
  <c r="X9" i="1"/>
  <c r="Y8" i="1"/>
  <c r="W11" i="1" l="1"/>
  <c r="W12" i="1" s="1"/>
  <c r="Y12" i="1"/>
  <c r="V11" i="1"/>
  <c r="Y11" i="1"/>
  <c r="X11" i="1"/>
  <c r="X12" i="1" s="1"/>
</calcChain>
</file>

<file path=xl/sharedStrings.xml><?xml version="1.0" encoding="utf-8"?>
<sst xmlns="http://schemas.openxmlformats.org/spreadsheetml/2006/main" count="1352" uniqueCount="230">
  <si>
    <t>IF2211 Strategi Algoritma</t>
  </si>
  <si>
    <t>Ringkasan</t>
  </si>
  <si>
    <t>Semester 2 Tahun Akademik 2022/2023</t>
  </si>
  <si>
    <t>Dosen: 1. Dr. Rinaldi Munir (K1)</t>
  </si>
  <si>
    <t>Batas</t>
  </si>
  <si>
    <t>Indeks</t>
  </si>
  <si>
    <t xml:space="preserve">Jumlah </t>
  </si>
  <si>
    <t>K1</t>
  </si>
  <si>
    <t>K2</t>
  </si>
  <si>
    <t>K3</t>
  </si>
  <si>
    <t>Konversi</t>
  </si>
  <si>
    <t>E</t>
  </si>
  <si>
    <t>D</t>
  </si>
  <si>
    <t>C</t>
  </si>
  <si>
    <t>BC</t>
  </si>
  <si>
    <t>B</t>
  </si>
  <si>
    <t>Bobot penilaian: Nilai Akhir = 31.25% UTS + 31.25% UAS + 15% Rata-rata Tucil + 15% Rata-rata Tubes +  5% Makalah + 2,5% Kehadiran</t>
  </si>
  <si>
    <t>AB</t>
  </si>
  <si>
    <t>A</t>
  </si>
  <si>
    <t>Jumlah</t>
  </si>
  <si>
    <t>IPKelas</t>
  </si>
  <si>
    <t>Bobot</t>
  </si>
  <si>
    <t>Rata-rata</t>
  </si>
  <si>
    <t>NO</t>
  </si>
  <si>
    <t>NIM</t>
  </si>
  <si>
    <t>NAMA</t>
  </si>
  <si>
    <t>Kelas</t>
  </si>
  <si>
    <t>TUCIL</t>
  </si>
  <si>
    <t>TUBES</t>
  </si>
  <si>
    <t>UTS</t>
  </si>
  <si>
    <t>UAS</t>
  </si>
  <si>
    <t>KEHADIRAN</t>
  </si>
  <si>
    <t>NILAI AKHIR</t>
  </si>
  <si>
    <t>HARAPAN</t>
  </si>
  <si>
    <t>Tucil1</t>
  </si>
  <si>
    <t>Tucil2</t>
  </si>
  <si>
    <t>Tucil3</t>
  </si>
  <si>
    <t>Rata-rata Tucil</t>
  </si>
  <si>
    <t>Tubes1</t>
  </si>
  <si>
    <t>Tubes2</t>
  </si>
  <si>
    <t>Tubes3</t>
  </si>
  <si>
    <t>Rata-rata Tubes</t>
  </si>
  <si>
    <t>Nilai</t>
  </si>
  <si>
    <t>William Nixon</t>
  </si>
  <si>
    <t>A+5</t>
  </si>
  <si>
    <t>Made Debby Almadea Putri</t>
  </si>
  <si>
    <t>Michael Utama</t>
  </si>
  <si>
    <t>Jeffrey Chow</t>
  </si>
  <si>
    <t>Arsa Izdihar Islam</t>
  </si>
  <si>
    <t>A + 5</t>
  </si>
  <si>
    <t>Nathan Tenka</t>
  </si>
  <si>
    <t>Johanes Lee</t>
  </si>
  <si>
    <t>Antonio Natthan Krishna</t>
  </si>
  <si>
    <t>AB+5</t>
  </si>
  <si>
    <t>Angela Livia Arumsari</t>
  </si>
  <si>
    <t>Michael Leon Putra Widhi</t>
  </si>
  <si>
    <t>Christian Albert Hasiholan</t>
  </si>
  <si>
    <t>Michael Jonathan Halim</t>
  </si>
  <si>
    <t>Margaretha Olivia Haryono</t>
  </si>
  <si>
    <t>B+5</t>
  </si>
  <si>
    <t>Go Dillon Audris</t>
  </si>
  <si>
    <t>Rava Maulana Azzikri</t>
  </si>
  <si>
    <t>Jericho Russel Sebastian</t>
  </si>
  <si>
    <t>Alexander Jason</t>
  </si>
  <si>
    <t>Melvin Kent Jonathan</t>
  </si>
  <si>
    <t>Farizki Kurniawan</t>
  </si>
  <si>
    <t>Kenneth Ezekiel Suprantoni</t>
  </si>
  <si>
    <t>Yanuar Sano Nur Rasyid</t>
  </si>
  <si>
    <t>Brian Kheng</t>
  </si>
  <si>
    <t>Nicholas Liem</t>
  </si>
  <si>
    <t>Chiquita Ahsanunnisa</t>
  </si>
  <si>
    <t>Marcel Ryan Antony</t>
  </si>
  <si>
    <t>Bernardus Willson</t>
  </si>
  <si>
    <t>Muhammad Zaki Amanullah</t>
  </si>
  <si>
    <t>Fakhri Muhammad Mahendra</t>
  </si>
  <si>
    <t xml:space="preserve">AB  </t>
  </si>
  <si>
    <t>Farhan Nabil Suryono</t>
  </si>
  <si>
    <t>Nigel Sahl</t>
  </si>
  <si>
    <t>Rachel Gabriela Chen</t>
  </si>
  <si>
    <t>Muhammad Fadhil Amri</t>
  </si>
  <si>
    <t>Kevin John Wesley Hutabarat</t>
  </si>
  <si>
    <t>Addin Munawwar Yusuf</t>
  </si>
  <si>
    <t>Husnia Munzayana</t>
  </si>
  <si>
    <t>I Putu Bakta Hari Sudewa</t>
  </si>
  <si>
    <t>Alisha Listya Wardhani</t>
  </si>
  <si>
    <t>Nathania Calista Djunaedi</t>
  </si>
  <si>
    <t>Mohammad Rifqi Farhansyah</t>
  </si>
  <si>
    <t>Syarifa Dwi Purnamasari</t>
  </si>
  <si>
    <t>Bagas Aryo Seto</t>
  </si>
  <si>
    <t>Ahmad Nadil</t>
  </si>
  <si>
    <t>Juan Christopher Santoso</t>
  </si>
  <si>
    <t>Jimly Firdaus</t>
  </si>
  <si>
    <t>Fajar Maulana Herawan</t>
  </si>
  <si>
    <t>Frankie Huang</t>
  </si>
  <si>
    <t>Arleen Chrysantha Gunardi</t>
  </si>
  <si>
    <t>Dewana Gustavus Haraka Otang</t>
  </si>
  <si>
    <t>Tabitha Permalla</t>
  </si>
  <si>
    <t>Muhammad Habibi Husni</t>
  </si>
  <si>
    <t>Sulthan Dzaky Alfaro</t>
  </si>
  <si>
    <t xml:space="preserve">A </t>
  </si>
  <si>
    <t>Ulung Adi Putra</t>
  </si>
  <si>
    <t>Muhammad Rizky Sya'ban</t>
  </si>
  <si>
    <t>Henry Anand Septian Radityo</t>
  </si>
  <si>
    <t>Raynard Tanadi</t>
  </si>
  <si>
    <t>Bintang Dwi Marthen</t>
  </si>
  <si>
    <t>Muhamad Aji Wibisono</t>
  </si>
  <si>
    <t>Tobias Natalio Sianipar</t>
  </si>
  <si>
    <t>Eugene Yap Jin Quan</t>
  </si>
  <si>
    <t>Muhammad Bangkit Dwi Cahyono</t>
  </si>
  <si>
    <t>Afnan Edsa Ramadhan</t>
  </si>
  <si>
    <t>Mohammad Farhan Fahrezy</t>
  </si>
  <si>
    <t>Jason Rivalino</t>
  </si>
  <si>
    <t>Noel Christoffel Simbolon</t>
  </si>
  <si>
    <t>Ryan Samuel Chandra</t>
  </si>
  <si>
    <t>Akbar Maulana Ridho</t>
  </si>
  <si>
    <t>Puti Nabilla Aidira</t>
  </si>
  <si>
    <t>Kandida Edgina Gunawan</t>
  </si>
  <si>
    <t>B + 5</t>
  </si>
  <si>
    <t>Fatih Nararya Rashadyfa I.</t>
  </si>
  <si>
    <t>M. Dimas Sakti Widyatmaja</t>
  </si>
  <si>
    <t>Ditra Rizqa Amadia</t>
  </si>
  <si>
    <t>Muhhamad Syauqi Jannatan</t>
  </si>
  <si>
    <t>Raditya Naufal Abiyu</t>
  </si>
  <si>
    <t>Bill Clinton</t>
  </si>
  <si>
    <t>Zidane Firzatullah</t>
  </si>
  <si>
    <t>Rinaldy Adin</t>
  </si>
  <si>
    <t>Shelma Salsabila</t>
  </si>
  <si>
    <t>Akhmad Setiawan</t>
  </si>
  <si>
    <t>Vieri Fajar Firdaus</t>
  </si>
  <si>
    <t>Febryan Arota Hia</t>
  </si>
  <si>
    <t>Matthew Mahendra</t>
  </si>
  <si>
    <t>Shidqi Indy Izhari</t>
  </si>
  <si>
    <t>Muhammad Equilibrie Fajria</t>
  </si>
  <si>
    <t>AB + 5</t>
  </si>
  <si>
    <t>Hidayatullah Wildan Ghaly B.</t>
  </si>
  <si>
    <t>Angger Ilham A</t>
  </si>
  <si>
    <t>Fahrian Afdholi</t>
  </si>
  <si>
    <t>Brigita Tri Carolina</t>
  </si>
  <si>
    <t>Althaaf Khasyi Atisomya</t>
  </si>
  <si>
    <t>Azmi Hasna Zahrani</t>
  </si>
  <si>
    <t>Haidar Hamda</t>
  </si>
  <si>
    <t>Saddam Annais Shaquille</t>
  </si>
  <si>
    <t>Muhammad Abdul Aziz Ghazali</t>
  </si>
  <si>
    <t>Alex Sander</t>
  </si>
  <si>
    <t>Kenneth Dave Bahana</t>
  </si>
  <si>
    <t>Agsha Athalla Nurkareem</t>
  </si>
  <si>
    <t>Johann Christian Kandani</t>
  </si>
  <si>
    <t>Haziq Abiyyu Mahdy</t>
  </si>
  <si>
    <t>Razzan Daksana Yoni</t>
  </si>
  <si>
    <t>Muhammad Naufal Nalendra</t>
  </si>
  <si>
    <t>Bintang Hijriawan Jachja</t>
  </si>
  <si>
    <t>Mutawally Nawwar</t>
  </si>
  <si>
    <t>Muhamad Salman Hakim Alfarisi</t>
  </si>
  <si>
    <t>Daniel Egiant Sitanggang</t>
  </si>
  <si>
    <t>Enrique Alifio Ditya</t>
  </si>
  <si>
    <t>Jeremya Dharmawan Raharjo</t>
  </si>
  <si>
    <t>Muhammad Haidar Akita Tresnadi</t>
  </si>
  <si>
    <t>Ahmad Ghulam Ilham</t>
  </si>
  <si>
    <t>Haikal Ardzi Shofiyyurrohman</t>
  </si>
  <si>
    <t>Muhammad Hanan</t>
  </si>
  <si>
    <t>Hanif Muhammad Zhafran</t>
  </si>
  <si>
    <t>Kenny Benaya Nathan</t>
  </si>
  <si>
    <t>Aulia Mey Diva Annandya</t>
  </si>
  <si>
    <t>Salomo Reinhart Gregory Manalu</t>
  </si>
  <si>
    <t>Reza Pahlevi Ubaidillah</t>
  </si>
  <si>
    <t>Jauza Lathifah Annassalafi</t>
  </si>
  <si>
    <t>Yobel Dean Christopher</t>
  </si>
  <si>
    <t>Austin Gabriel Pardosi</t>
  </si>
  <si>
    <t>Moch. Sofyan Firdaus</t>
  </si>
  <si>
    <t>Kartini Copa</t>
  </si>
  <si>
    <t>Hosea Nathanael Abetnego</t>
  </si>
  <si>
    <t>Manuella Ivana Uli Sianipar</t>
  </si>
  <si>
    <t>Hobert Anthony Jonatan</t>
  </si>
  <si>
    <t>M. Farrel Danendra Rachim</t>
  </si>
  <si>
    <t>Muhammad Rifko Favian</t>
  </si>
  <si>
    <t>Wilson Tansil</t>
  </si>
  <si>
    <t>Moh. Aghna Maysan Abyan</t>
  </si>
  <si>
    <t>Kelvin Rayhan Alkarim</t>
  </si>
  <si>
    <t>Louis Caesa Kesuma</t>
  </si>
  <si>
    <t>Eunice Sarah Siregar</t>
  </si>
  <si>
    <t>Akmal Mahardika Nurwahyu P</t>
  </si>
  <si>
    <t>Muhammad Zaydan Athallah</t>
  </si>
  <si>
    <t>Laila Bilbina Khoiru Nisa</t>
  </si>
  <si>
    <t>Vanessa Rebecca Wiyono</t>
  </si>
  <si>
    <t>Rizky Abdillah Rasyid</t>
  </si>
  <si>
    <t>Ilham Akbar</t>
  </si>
  <si>
    <t>Fakih Anugerah Pratama</t>
  </si>
  <si>
    <t>M Zulfiansyah Bayu Pratama</t>
  </si>
  <si>
    <t>M. Malik I. Baharsyah</t>
  </si>
  <si>
    <t>Christophorus Dharma Winata</t>
  </si>
  <si>
    <t>Ammar Rasyad Chaeroel</t>
  </si>
  <si>
    <t>Athif Nirwasito</t>
  </si>
  <si>
    <t>Cetta Reswara Parahita</t>
  </si>
  <si>
    <t>Ariel Jovananda</t>
  </si>
  <si>
    <t>Irsyad Nurwidianto Basuki</t>
  </si>
  <si>
    <t>Dhanika Novlisariyanti</t>
  </si>
  <si>
    <t>Edia Zaki Naufal Ilman</t>
  </si>
  <si>
    <t>Ghazi Akmal Fauzan</t>
  </si>
  <si>
    <t>Varraz Hazzandra Abrar</t>
  </si>
  <si>
    <t>Ferindya Aulia Berlianty</t>
  </si>
  <si>
    <t>Rayhan Hanif Maulana Pradana</t>
  </si>
  <si>
    <t>Naufal Syifa Firdaus</t>
  </si>
  <si>
    <t>Muhammad Raihan Iqbal</t>
  </si>
  <si>
    <t>Fazel Ginanda</t>
  </si>
  <si>
    <t>Asyifa Nurul Shafira</t>
  </si>
  <si>
    <t>Satria Octavianus Nababan</t>
  </si>
  <si>
    <t>Ezra M C M H</t>
  </si>
  <si>
    <t>Maggie Zeta Rosida S</t>
  </si>
  <si>
    <t>Irgiansyah Mondo</t>
  </si>
  <si>
    <t>Muhammad Dhiwaul Akbar</t>
  </si>
  <si>
    <t>Daftar Nillai UTS</t>
  </si>
  <si>
    <t>No 1</t>
  </si>
  <si>
    <t>No 2</t>
  </si>
  <si>
    <t>No 3</t>
  </si>
  <si>
    <t xml:space="preserve"> No 4</t>
  </si>
  <si>
    <t>No 5</t>
  </si>
  <si>
    <t>No 6</t>
  </si>
  <si>
    <t>No 7</t>
  </si>
  <si>
    <t>No 8</t>
  </si>
  <si>
    <t>Total</t>
  </si>
  <si>
    <t>Daftar Nillai UAS</t>
  </si>
  <si>
    <t>Prediksi</t>
  </si>
  <si>
    <t xml:space="preserve">B </t>
  </si>
  <si>
    <t>AB/B</t>
  </si>
  <si>
    <t>tidak ada</t>
  </si>
  <si>
    <t xml:space="preserve">    2. Dr. Nur Ulfa Maulidevi (K2)</t>
  </si>
  <si>
    <t xml:space="preserve">    3. Ir. Rila Mandala, M.Eng., Ph.D. (K3)</t>
  </si>
  <si>
    <t>Tim asisten dari IF 2020: Saul Sayers, Dimas Faidh Muzaki, Bryan  Bernigen, Angelica, Steven, Vionie, Willy Wilson, Ziyad Dhia Rafi</t>
  </si>
  <si>
    <t>MAKALAH + Video</t>
  </si>
  <si>
    <t>KENYATAAN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</si>
</sst>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9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name val="Arial"/>
    </font>
    <font>
      <sz val="10"/>
      <color theme="1"/>
      <name val="Arial"/>
      <scheme val="minor"/>
    </font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4" fontId="2" fillId="0" borderId="0" xfId="0" applyNumberFormat="1" applyFont="1"/>
    <xf numFmtId="2" fontId="2" fillId="0" borderId="0" xfId="0" applyNumberFormat="1" applyFont="1"/>
    <xf numFmtId="164" fontId="2" fillId="0" borderId="2" xfId="0" applyNumberFormat="1" applyFont="1" applyBorder="1"/>
    <xf numFmtId="2" fontId="2" fillId="0" borderId="3" xfId="0" applyNumberFormat="1" applyFont="1" applyBorder="1"/>
    <xf numFmtId="1" fontId="2" fillId="0" borderId="3" xfId="0" applyNumberFormat="1" applyFont="1" applyBorder="1" applyAlignment="1">
      <alignment horizontal="right"/>
    </xf>
    <xf numFmtId="0" fontId="2" fillId="3" borderId="0" xfId="0" applyFont="1" applyFill="1"/>
    <xf numFmtId="2" fontId="2" fillId="3" borderId="0" xfId="0" applyNumberFormat="1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2" fillId="4" borderId="0" xfId="0" applyFont="1" applyFill="1"/>
    <xf numFmtId="2" fontId="4" fillId="4" borderId="0" xfId="0" applyNumberFormat="1" applyFont="1" applyFill="1" applyAlignment="1">
      <alignment horizontal="right"/>
    </xf>
    <xf numFmtId="2" fontId="2" fillId="4" borderId="0" xfId="0" applyNumberFormat="1" applyFont="1" applyFill="1"/>
    <xf numFmtId="2" fontId="2" fillId="0" borderId="1" xfId="0" applyNumberFormat="1" applyFont="1" applyBorder="1"/>
    <xf numFmtId="2" fontId="2" fillId="4" borderId="1" xfId="0" applyNumberFormat="1" applyFont="1" applyFill="1" applyBorder="1"/>
    <xf numFmtId="0" fontId="2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wrapText="1"/>
    </xf>
    <xf numFmtId="164" fontId="2" fillId="4" borderId="3" xfId="0" applyNumberFormat="1" applyFont="1" applyFill="1" applyBorder="1" applyAlignment="1">
      <alignment horizontal="center" wrapText="1"/>
    </xf>
    <xf numFmtId="0" fontId="6" fillId="0" borderId="0" xfId="0" applyFont="1"/>
    <xf numFmtId="2" fontId="2" fillId="4" borderId="3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/>
    <xf numFmtId="0" fontId="4" fillId="0" borderId="6" xfId="0" applyFont="1" applyBorder="1" applyAlignment="1">
      <alignment horizontal="center"/>
    </xf>
    <xf numFmtId="165" fontId="4" fillId="4" borderId="3" xfId="0" applyNumberFormat="1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164" fontId="2" fillId="4" borderId="3" xfId="0" applyNumberFormat="1" applyFont="1" applyFill="1" applyBorder="1" applyAlignment="1">
      <alignment horizontal="right"/>
    </xf>
    <xf numFmtId="2" fontId="2" fillId="4" borderId="3" xfId="0" applyNumberFormat="1" applyFont="1" applyFill="1" applyBorder="1" applyAlignment="1">
      <alignment horizontal="right"/>
    </xf>
    <xf numFmtId="165" fontId="2" fillId="4" borderId="3" xfId="0" applyNumberFormat="1" applyFont="1" applyFill="1" applyBorder="1" applyAlignment="1">
      <alignment horizontal="right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165" fontId="6" fillId="0" borderId="0" xfId="0" applyNumberFormat="1" applyFont="1"/>
    <xf numFmtId="0" fontId="6" fillId="0" borderId="6" xfId="0" applyFont="1" applyBorder="1"/>
    <xf numFmtId="165" fontId="6" fillId="0" borderId="6" xfId="0" applyNumberFormat="1" applyFont="1" applyBorder="1"/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64" fontId="2" fillId="2" borderId="3" xfId="0" applyNumberFormat="1" applyFont="1" applyFill="1" applyBorder="1" applyAlignment="1">
      <alignment horizontal="right"/>
    </xf>
    <xf numFmtId="164" fontId="2" fillId="0" borderId="3" xfId="0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/>
    <xf numFmtId="166" fontId="2" fillId="4" borderId="0" xfId="0" applyNumberFormat="1" applyFont="1" applyFill="1"/>
    <xf numFmtId="166" fontId="4" fillId="3" borderId="0" xfId="0" applyNumberFormat="1" applyFont="1" applyFill="1" applyAlignment="1">
      <alignment horizontal="right"/>
    </xf>
    <xf numFmtId="166" fontId="2" fillId="3" borderId="0" xfId="0" applyNumberFormat="1" applyFont="1" applyFill="1" applyAlignment="1">
      <alignment horizontal="right"/>
    </xf>
    <xf numFmtId="0" fontId="0" fillId="0" borderId="0" xfId="0"/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0" fontId="8" fillId="4" borderId="1" xfId="0" applyFont="1" applyFill="1" applyBorder="1" applyAlignment="1">
      <alignment horizontal="center"/>
    </xf>
    <xf numFmtId="0" fontId="5" fillId="0" borderId="3" xfId="0" applyFont="1" applyBorder="1"/>
    <xf numFmtId="0" fontId="2" fillId="4" borderId="1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1" xfId="0" applyFont="1" applyBorder="1"/>
    <xf numFmtId="0" fontId="2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79"/>
  <sheetViews>
    <sheetView tabSelected="1" topLeftCell="A132" workbookViewId="0">
      <selection activeCell="O31" sqref="O31:V31"/>
    </sheetView>
  </sheetViews>
  <sheetFormatPr defaultColWidth="12.5703125" defaultRowHeight="15.75" customHeight="1" x14ac:dyDescent="0.2"/>
  <cols>
    <col min="1" max="1" width="4.42578125" customWidth="1"/>
    <col min="2" max="2" width="10" customWidth="1"/>
    <col min="3" max="3" width="31" customWidth="1"/>
    <col min="4" max="4" width="6.28515625" customWidth="1"/>
    <col min="5" max="5" width="7" customWidth="1"/>
    <col min="6" max="6" width="6.85546875" customWidth="1"/>
    <col min="7" max="7" width="7" customWidth="1"/>
    <col min="8" max="8" width="9.140625" customWidth="1"/>
    <col min="9" max="9" width="7.42578125" customWidth="1"/>
    <col min="10" max="10" width="7.140625" customWidth="1"/>
    <col min="11" max="11" width="7.28515625" customWidth="1"/>
    <col min="12" max="12" width="8.7109375" customWidth="1"/>
    <col min="13" max="13" width="7.28515625" customWidth="1"/>
    <col min="14" max="14" width="8.28515625" customWidth="1"/>
    <col min="15" max="15" width="8" customWidth="1"/>
    <col min="16" max="16" width="10.42578125" customWidth="1"/>
    <col min="17" max="17" width="7.5703125" customWidth="1"/>
    <col min="18" max="18" width="6.42578125" customWidth="1"/>
    <col min="19" max="19" width="9" customWidth="1"/>
    <col min="20" max="20" width="11.28515625" customWidth="1"/>
    <col min="21" max="21" width="12" customWidth="1"/>
    <col min="22" max="22" width="28.5703125" customWidth="1"/>
    <col min="23" max="23" width="11.42578125" customWidth="1"/>
    <col min="24" max="24" width="7.140625" customWidth="1"/>
  </cols>
  <sheetData>
    <row r="1" spans="1:26" ht="15.7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1</v>
      </c>
      <c r="U1" s="2"/>
      <c r="V1" s="2"/>
      <c r="W1" s="2"/>
      <c r="X1" s="2"/>
      <c r="Y1" s="2"/>
      <c r="Z1" s="2"/>
    </row>
    <row r="2" spans="1:26" ht="12.75" x14ac:dyDescent="0.2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V2" s="4"/>
      <c r="W2" s="4"/>
      <c r="X2" s="4"/>
      <c r="Y2" s="4"/>
      <c r="Z2" s="4"/>
    </row>
    <row r="3" spans="1:26" ht="12.75" x14ac:dyDescent="0.2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5"/>
      <c r="T3" s="6" t="s">
        <v>4</v>
      </c>
      <c r="U3" s="7" t="s">
        <v>5</v>
      </c>
      <c r="V3" s="8" t="s">
        <v>6</v>
      </c>
      <c r="W3" s="7" t="s">
        <v>7</v>
      </c>
      <c r="X3" s="7" t="s">
        <v>8</v>
      </c>
      <c r="Y3" s="7" t="s">
        <v>9</v>
      </c>
      <c r="Z3" s="7" t="s">
        <v>10</v>
      </c>
    </row>
    <row r="4" spans="1:26" ht="12.75" x14ac:dyDescent="0.2">
      <c r="A4" s="2"/>
      <c r="B4" s="55" t="s">
        <v>225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9">
        <v>0</v>
      </c>
      <c r="U4" s="8" t="s">
        <v>11</v>
      </c>
      <c r="V4" s="10">
        <f t="shared" ref="V4:V10" ca="1" si="0">COUNTIF($U$21:$U$179,U4)</f>
        <v>1</v>
      </c>
      <c r="W4" s="10">
        <f t="shared" ref="W4:Y10" ca="1" si="1">COUNTIFS($D$21:$D$179,W$3,$U$21:$U$179,$U4)</f>
        <v>0</v>
      </c>
      <c r="X4" s="10">
        <f t="shared" ca="1" si="1"/>
        <v>1</v>
      </c>
      <c r="Y4" s="10">
        <f t="shared" ca="1" si="1"/>
        <v>0</v>
      </c>
      <c r="Z4" s="10">
        <v>0</v>
      </c>
    </row>
    <row r="5" spans="1:26" ht="12.75" x14ac:dyDescent="0.2">
      <c r="A5" s="2"/>
      <c r="B5" s="56" t="s">
        <v>226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5"/>
      <c r="T5" s="9">
        <v>44.05</v>
      </c>
      <c r="U5" s="8" t="s">
        <v>12</v>
      </c>
      <c r="V5" s="10">
        <f t="shared" ca="1" si="0"/>
        <v>1</v>
      </c>
      <c r="W5" s="10">
        <f t="shared" ca="1" si="1"/>
        <v>1</v>
      </c>
      <c r="X5" s="10">
        <f t="shared" ca="1" si="1"/>
        <v>0</v>
      </c>
      <c r="Y5" s="10">
        <f t="shared" ca="1" si="1"/>
        <v>0</v>
      </c>
      <c r="Z5" s="10">
        <v>1</v>
      </c>
    </row>
    <row r="6" spans="1:26" ht="12.75" x14ac:dyDescent="0.2">
      <c r="A6" s="56" t="s">
        <v>227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5"/>
      <c r="T6" s="9">
        <v>52.87</v>
      </c>
      <c r="U6" s="8" t="s">
        <v>13</v>
      </c>
      <c r="V6" s="10">
        <f t="shared" ca="1" si="0"/>
        <v>3</v>
      </c>
      <c r="W6" s="10">
        <f t="shared" ca="1" si="1"/>
        <v>3</v>
      </c>
      <c r="X6" s="10">
        <f t="shared" ca="1" si="1"/>
        <v>0</v>
      </c>
      <c r="Y6" s="10">
        <f t="shared" ca="1" si="1"/>
        <v>0</v>
      </c>
      <c r="Z6" s="10">
        <v>2</v>
      </c>
    </row>
    <row r="7" spans="1:26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5"/>
      <c r="T7" s="9">
        <v>68.69</v>
      </c>
      <c r="U7" s="8" t="s">
        <v>14</v>
      </c>
      <c r="V7" s="10">
        <f t="shared" ca="1" si="0"/>
        <v>5</v>
      </c>
      <c r="W7" s="10">
        <f t="shared" ca="1" si="1"/>
        <v>0</v>
      </c>
      <c r="X7" s="10">
        <f t="shared" ca="1" si="1"/>
        <v>5</v>
      </c>
      <c r="Y7" s="10">
        <f t="shared" ca="1" si="1"/>
        <v>0</v>
      </c>
      <c r="Z7" s="10">
        <v>2.5</v>
      </c>
    </row>
    <row r="8" spans="1:26" ht="12.75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9">
        <v>71.650999999999996</v>
      </c>
      <c r="U8" s="8" t="s">
        <v>15</v>
      </c>
      <c r="V8" s="10">
        <f t="shared" ca="1" si="0"/>
        <v>15</v>
      </c>
      <c r="W8" s="10">
        <f t="shared" ca="1" si="1"/>
        <v>5</v>
      </c>
      <c r="X8" s="10">
        <f t="shared" ca="1" si="1"/>
        <v>6</v>
      </c>
      <c r="Y8" s="10">
        <f t="shared" ca="1" si="1"/>
        <v>4</v>
      </c>
      <c r="Z8" s="10">
        <v>3</v>
      </c>
    </row>
    <row r="9" spans="1:26" ht="12.75" x14ac:dyDescent="0.2">
      <c r="A9" s="2" t="s">
        <v>16</v>
      </c>
      <c r="B9" s="2"/>
      <c r="C9" s="2"/>
      <c r="D9" s="2"/>
      <c r="E9" s="2"/>
      <c r="F9" s="2"/>
      <c r="G9" s="2"/>
      <c r="H9" s="11"/>
      <c r="I9" s="2"/>
      <c r="J9" s="2"/>
      <c r="K9" s="2"/>
      <c r="L9" s="11"/>
      <c r="M9" s="2"/>
      <c r="N9" s="2"/>
      <c r="O9" s="2"/>
      <c r="P9" s="2"/>
      <c r="Q9" s="2"/>
      <c r="R9" s="12"/>
      <c r="S9" s="13"/>
      <c r="T9" s="9">
        <v>76.873000000000005</v>
      </c>
      <c r="U9" s="8" t="s">
        <v>17</v>
      </c>
      <c r="V9" s="10">
        <f t="shared" ca="1" si="0"/>
        <v>41</v>
      </c>
      <c r="W9" s="10">
        <f t="shared" ca="1" si="1"/>
        <v>18</v>
      </c>
      <c r="X9" s="10">
        <f t="shared" ca="1" si="1"/>
        <v>12</v>
      </c>
      <c r="Y9" s="10">
        <f t="shared" ca="1" si="1"/>
        <v>11</v>
      </c>
      <c r="Z9" s="10">
        <v>3.5</v>
      </c>
    </row>
    <row r="10" spans="1:26" ht="12.75" x14ac:dyDescent="0.2">
      <c r="A10" s="60"/>
      <c r="B10" s="60"/>
      <c r="C10" s="60"/>
      <c r="D10" s="2"/>
      <c r="E10" s="2"/>
      <c r="F10" s="2"/>
      <c r="G10" s="2"/>
      <c r="H10" s="11"/>
      <c r="I10" s="2"/>
      <c r="J10" s="2"/>
      <c r="K10" s="2"/>
      <c r="L10" s="11"/>
      <c r="M10" s="2"/>
      <c r="N10" s="2"/>
      <c r="O10" s="2"/>
      <c r="P10" s="2"/>
      <c r="Q10" s="2"/>
      <c r="R10" s="12"/>
      <c r="S10" s="13"/>
      <c r="T10" s="53">
        <v>84.135879629629628</v>
      </c>
      <c r="U10" s="8" t="s">
        <v>18</v>
      </c>
      <c r="V10" s="10">
        <f t="shared" ca="1" si="0"/>
        <v>93</v>
      </c>
      <c r="W10" s="10">
        <f t="shared" ca="1" si="1"/>
        <v>38</v>
      </c>
      <c r="X10" s="10">
        <f t="shared" ca="1" si="1"/>
        <v>41</v>
      </c>
      <c r="Y10" s="10">
        <f t="shared" ca="1" si="1"/>
        <v>14</v>
      </c>
      <c r="Z10" s="10">
        <v>4</v>
      </c>
    </row>
    <row r="11" spans="1:26" ht="12.75" x14ac:dyDescent="0.2">
      <c r="A11" s="60"/>
      <c r="B11" s="60"/>
      <c r="C11" s="60"/>
      <c r="D11" s="2"/>
      <c r="E11" s="2"/>
      <c r="F11" s="2"/>
      <c r="G11" s="2"/>
      <c r="H11" s="11"/>
      <c r="I11" s="2"/>
      <c r="J11" s="2"/>
      <c r="K11" s="2"/>
      <c r="L11" s="11"/>
      <c r="M11" s="2"/>
      <c r="N11" s="2"/>
      <c r="O11" s="2"/>
      <c r="P11" s="2"/>
      <c r="Q11" s="2"/>
      <c r="R11" s="12"/>
      <c r="S11" s="13"/>
      <c r="T11" s="54"/>
      <c r="U11" s="14" t="s">
        <v>19</v>
      </c>
      <c r="V11" s="15">
        <f t="shared" ref="V11:Y11" ca="1" si="2">SUM(V4:V10)</f>
        <v>159</v>
      </c>
      <c r="W11" s="15">
        <f t="shared" ca="1" si="2"/>
        <v>65</v>
      </c>
      <c r="X11" s="15">
        <f t="shared" ca="1" si="2"/>
        <v>65</v>
      </c>
      <c r="Y11" s="15">
        <f t="shared" ca="1" si="2"/>
        <v>29</v>
      </c>
      <c r="Z11" s="14"/>
    </row>
    <row r="12" spans="1:26" ht="12.75" x14ac:dyDescent="0.2">
      <c r="A12" s="2"/>
      <c r="B12" s="2"/>
      <c r="C12" s="2"/>
      <c r="D12" s="2"/>
      <c r="E12" s="2"/>
      <c r="F12" s="2"/>
      <c r="G12" s="2"/>
      <c r="H12" s="11"/>
      <c r="I12" s="2"/>
      <c r="J12" s="2"/>
      <c r="K12" s="2"/>
      <c r="L12" s="11"/>
      <c r="M12" s="2"/>
      <c r="N12" s="2"/>
      <c r="O12" s="2"/>
      <c r="P12" s="2"/>
      <c r="Q12" s="2"/>
      <c r="R12" s="12"/>
      <c r="S12" s="11"/>
      <c r="T12" s="12"/>
      <c r="U12" s="16" t="s">
        <v>20</v>
      </c>
      <c r="V12" s="16"/>
      <c r="W12" s="17">
        <f t="shared" ref="W12:Y12" ca="1" si="3">SUMPRODUCT($Z$4:$Z$10,W$4:W$10)/W$11</f>
        <v>3.6461538461538461</v>
      </c>
      <c r="X12" s="17">
        <f t="shared" ca="1" si="3"/>
        <v>3.6384615384615384</v>
      </c>
      <c r="Y12" s="17">
        <f t="shared" ca="1" si="3"/>
        <v>3.6724137931034484</v>
      </c>
      <c r="Z12" s="12"/>
    </row>
    <row r="13" spans="1:26" ht="15.75" customHeight="1" x14ac:dyDescent="0.25">
      <c r="A13" s="60"/>
      <c r="B13" s="60"/>
      <c r="C13" s="60"/>
      <c r="D13" s="2" t="s">
        <v>7</v>
      </c>
      <c r="E13" s="18">
        <f t="shared" ref="E13:N13" ca="1" si="4">AVERAGEIF($D$21:$D$179,$D13,E$21:E$179)</f>
        <v>87.392307692307696</v>
      </c>
      <c r="F13" s="18">
        <f t="shared" ca="1" si="4"/>
        <v>108.84615384615384</v>
      </c>
      <c r="G13" s="18">
        <f t="shared" ca="1" si="4"/>
        <v>100.78461538461538</v>
      </c>
      <c r="H13" s="18">
        <f t="shared" ca="1" si="4"/>
        <v>99.007692307692324</v>
      </c>
      <c r="I13" s="18">
        <f t="shared" ca="1" si="4"/>
        <v>102.92307692307692</v>
      </c>
      <c r="J13" s="18">
        <f t="shared" ca="1" si="4"/>
        <v>105.63076923076923</v>
      </c>
      <c r="K13" s="18">
        <f t="shared" ca="1" si="4"/>
        <v>98.492307692307691</v>
      </c>
      <c r="L13" s="18">
        <f t="shared" ca="1" si="4"/>
        <v>102.34871794871792</v>
      </c>
      <c r="M13" s="18">
        <f t="shared" si="4"/>
        <v>75.784615384615378</v>
      </c>
      <c r="N13" s="18">
        <f t="shared" si="4"/>
        <v>79.469230769230762</v>
      </c>
      <c r="O13" s="18"/>
      <c r="P13" s="18">
        <f t="shared" ref="P13:P15" si="5">AVERAGEIF($D$21:$D$179,$D13,P$21:P$179)</f>
        <v>83.650793650793645</v>
      </c>
      <c r="Q13" s="18">
        <f t="shared" ref="Q13:Q15" ca="1" si="6">AVERAGEIF($D$21:$D$179,$D13,Q$21:Q$178)</f>
        <v>25.492307692307691</v>
      </c>
      <c r="R13" s="18">
        <f t="shared" ref="R13:S13" si="7">AVERAGEIF($D$21:$D$179,$D13,R$21:R$179)</f>
        <v>94.41595441595436</v>
      </c>
      <c r="S13" s="18">
        <f t="shared" ca="1" si="7"/>
        <v>85.134533475783456</v>
      </c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60"/>
      <c r="B14" s="60"/>
      <c r="C14" s="2"/>
      <c r="D14" s="2" t="s">
        <v>8</v>
      </c>
      <c r="E14" s="18">
        <f t="shared" ref="E14:N14" ca="1" si="8">AVERAGEIF($D$21:$D$179,$D14,E$21:E$179)</f>
        <v>90.930769230769229</v>
      </c>
      <c r="F14" s="18">
        <f t="shared" ca="1" si="8"/>
        <v>111.01538461538462</v>
      </c>
      <c r="G14" s="18">
        <f t="shared" ca="1" si="8"/>
        <v>102.67692307692307</v>
      </c>
      <c r="H14" s="18">
        <f t="shared" ca="1" si="8"/>
        <v>101.54102564102566</v>
      </c>
      <c r="I14" s="18">
        <f t="shared" ca="1" si="8"/>
        <v>102.0923076923077</v>
      </c>
      <c r="J14" s="18">
        <f t="shared" ca="1" si="8"/>
        <v>105.34615384615384</v>
      </c>
      <c r="K14" s="18">
        <f t="shared" ca="1" si="8"/>
        <v>97.938461538461539</v>
      </c>
      <c r="L14" s="18">
        <f t="shared" ca="1" si="8"/>
        <v>101.79230769230767</v>
      </c>
      <c r="M14" s="18">
        <f t="shared" si="8"/>
        <v>74.430769230769229</v>
      </c>
      <c r="N14" s="18">
        <f t="shared" si="8"/>
        <v>80.438461538461539</v>
      </c>
      <c r="O14" s="18"/>
      <c r="P14" s="18">
        <f t="shared" si="5"/>
        <v>82.538461538461533</v>
      </c>
      <c r="Q14" s="18">
        <f t="shared" ca="1" si="6"/>
        <v>25.123076923076923</v>
      </c>
      <c r="R14" s="18">
        <f t="shared" ref="R14:S14" si="9">AVERAGEIF($D$21:$D$179,$D14,R$21:R$179)</f>
        <v>93.048433048432997</v>
      </c>
      <c r="S14" s="18">
        <f t="shared" ca="1" si="9"/>
        <v>85.349768518518502</v>
      </c>
      <c r="T14" s="12"/>
      <c r="U14" s="2"/>
      <c r="V14" s="2"/>
      <c r="W14" s="2"/>
      <c r="X14" s="2"/>
      <c r="Y14" s="2"/>
      <c r="Z14" s="2"/>
    </row>
    <row r="15" spans="1:26" ht="15.75" customHeight="1" x14ac:dyDescent="0.25">
      <c r="A15" s="60"/>
      <c r="B15" s="60"/>
      <c r="C15" s="60"/>
      <c r="D15" s="2" t="s">
        <v>9</v>
      </c>
      <c r="E15" s="18">
        <f t="shared" ref="E15:N15" ca="1" si="10">AVERAGEIF($D$21:$D$179,$D15,E$21:E$179)</f>
        <v>91.310344827586206</v>
      </c>
      <c r="F15" s="18">
        <f t="shared" ca="1" si="10"/>
        <v>111.18965517241379</v>
      </c>
      <c r="G15" s="18">
        <f t="shared" ca="1" si="10"/>
        <v>99.206896551724142</v>
      </c>
      <c r="H15" s="18">
        <f t="shared" ca="1" si="10"/>
        <v>100.56896551724138</v>
      </c>
      <c r="I15" s="18">
        <f t="shared" ca="1" si="10"/>
        <v>103.27586206896552</v>
      </c>
      <c r="J15" s="18">
        <f t="shared" ca="1" si="10"/>
        <v>96.84482758620689</v>
      </c>
      <c r="K15" s="18">
        <f t="shared" ca="1" si="10"/>
        <v>87.827586206896555</v>
      </c>
      <c r="L15" s="18">
        <f t="shared" ca="1" si="10"/>
        <v>95.982758620689651</v>
      </c>
      <c r="M15" s="18">
        <f t="shared" si="10"/>
        <v>73.479310344827596</v>
      </c>
      <c r="N15" s="18">
        <f t="shared" si="10"/>
        <v>79.517241379310349</v>
      </c>
      <c r="O15" s="18"/>
      <c r="P15" s="18">
        <f t="shared" si="5"/>
        <v>80.517241379310349</v>
      </c>
      <c r="Q15" s="18">
        <f t="shared" ca="1" si="6"/>
        <v>26.275862068965516</v>
      </c>
      <c r="R15" s="18">
        <f t="shared" ref="R15:S15" si="11">AVERAGEIF($D$21:$D$179,$D15,R$21:R$179)</f>
        <v>97.318007662835242</v>
      </c>
      <c r="S15" s="18">
        <f t="shared" ca="1" si="11"/>
        <v>83.752993295019138</v>
      </c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60"/>
      <c r="B16" s="60"/>
      <c r="C16" s="60"/>
      <c r="D16" s="2" t="s">
        <v>21</v>
      </c>
      <c r="E16" s="57"/>
      <c r="F16" s="57"/>
      <c r="G16" s="57"/>
      <c r="H16" s="58">
        <v>0.15</v>
      </c>
      <c r="I16" s="57"/>
      <c r="J16" s="57"/>
      <c r="K16" s="57"/>
      <c r="L16" s="58">
        <v>0.15</v>
      </c>
      <c r="M16" s="58">
        <v>0.3125</v>
      </c>
      <c r="N16" s="58">
        <v>0.3125</v>
      </c>
      <c r="O16" s="57"/>
      <c r="P16" s="58">
        <v>0.05</v>
      </c>
      <c r="Q16" s="57"/>
      <c r="R16" s="58">
        <v>2.5000000000000001E-2</v>
      </c>
      <c r="S16" s="59">
        <f>SUM(H16:R16)</f>
        <v>1</v>
      </c>
      <c r="T16" s="19"/>
      <c r="U16" s="2"/>
      <c r="V16" s="2"/>
      <c r="W16" s="2"/>
      <c r="X16" s="2"/>
      <c r="Y16" s="2"/>
      <c r="Z16" s="2"/>
    </row>
    <row r="17" spans="1:26" ht="15.75" customHeight="1" x14ac:dyDescent="0.25">
      <c r="A17" s="12"/>
      <c r="B17" s="12"/>
      <c r="C17" s="12"/>
      <c r="D17" s="12" t="s">
        <v>22</v>
      </c>
      <c r="E17" s="20">
        <f t="shared" ref="E17:N17" ca="1" si="12">AVERAGE(E$21:E$179)</f>
        <v>89.55345911949685</v>
      </c>
      <c r="F17" s="20">
        <f t="shared" ca="1" si="12"/>
        <v>110.16037735849056</v>
      </c>
      <c r="G17" s="20">
        <f t="shared" ca="1" si="12"/>
        <v>101.27044025157232</v>
      </c>
      <c r="H17" s="20">
        <f t="shared" ca="1" si="12"/>
        <v>100.32809224318656</v>
      </c>
      <c r="I17" s="20">
        <f t="shared" ca="1" si="12"/>
        <v>102.64779874213836</v>
      </c>
      <c r="J17" s="20">
        <f t="shared" ca="1" si="12"/>
        <v>103.91194968553459</v>
      </c>
      <c r="K17" s="20">
        <f t="shared" ca="1" si="12"/>
        <v>96.320754716981128</v>
      </c>
      <c r="L17" s="20">
        <f t="shared" ca="1" si="12"/>
        <v>100.96016771488468</v>
      </c>
      <c r="M17" s="20">
        <f t="shared" si="12"/>
        <v>74.810691823899376</v>
      </c>
      <c r="N17" s="20">
        <f t="shared" si="12"/>
        <v>79.874213836477992</v>
      </c>
      <c r="O17" s="20"/>
      <c r="P17" s="20">
        <f>AVERAGE(P$21:P$179)</f>
        <v>82.611464968152873</v>
      </c>
      <c r="Q17" s="20">
        <f>AVERAGE(Q$21:Q$178)</f>
        <v>25.49367088607595</v>
      </c>
      <c r="R17" s="20">
        <f t="shared" ref="R17:S17" si="13">AVERAGE(R$21:R$179)</f>
        <v>94.386210109480473</v>
      </c>
      <c r="S17" s="20">
        <f t="shared" ca="1" si="13"/>
        <v>84.970543617516896</v>
      </c>
      <c r="T17" s="21"/>
      <c r="U17" s="12"/>
      <c r="V17" s="12"/>
      <c r="W17" s="2"/>
      <c r="X17" s="2"/>
      <c r="Y17" s="2"/>
      <c r="Z17" s="2"/>
    </row>
    <row r="18" spans="1:26" ht="12.75" x14ac:dyDescent="0.2">
      <c r="A18" s="22"/>
      <c r="B18" s="22"/>
      <c r="C18" s="22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2"/>
      <c r="V18" s="22"/>
      <c r="W18" s="4"/>
      <c r="X18" s="4"/>
      <c r="Y18" s="2"/>
      <c r="Z18" s="2"/>
    </row>
    <row r="19" spans="1:26" ht="15.75" customHeight="1" x14ac:dyDescent="0.25">
      <c r="A19" s="61" t="s">
        <v>23</v>
      </c>
      <c r="B19" s="67" t="s">
        <v>24</v>
      </c>
      <c r="C19" s="67" t="s">
        <v>25</v>
      </c>
      <c r="D19" s="67" t="s">
        <v>26</v>
      </c>
      <c r="E19" s="68" t="s">
        <v>27</v>
      </c>
      <c r="F19" s="69"/>
      <c r="G19" s="69"/>
      <c r="H19" s="64"/>
      <c r="I19" s="68" t="s">
        <v>28</v>
      </c>
      <c r="J19" s="69"/>
      <c r="K19" s="69"/>
      <c r="L19" s="64"/>
      <c r="M19" s="70" t="s">
        <v>29</v>
      </c>
      <c r="N19" s="70" t="s">
        <v>30</v>
      </c>
      <c r="O19" s="63" t="s">
        <v>228</v>
      </c>
      <c r="P19" s="64"/>
      <c r="Q19" s="65" t="s">
        <v>31</v>
      </c>
      <c r="R19" s="64"/>
      <c r="S19" s="66" t="s">
        <v>32</v>
      </c>
      <c r="T19" s="70" t="s">
        <v>33</v>
      </c>
      <c r="U19" s="71" t="s">
        <v>229</v>
      </c>
      <c r="V19" s="67" t="s">
        <v>25</v>
      </c>
      <c r="W19" s="67" t="s">
        <v>24</v>
      </c>
      <c r="X19" s="67" t="s">
        <v>23</v>
      </c>
      <c r="Y19" s="12"/>
      <c r="Z19" s="2"/>
    </row>
    <row r="20" spans="1:26" ht="15.75" customHeight="1" x14ac:dyDescent="0.25">
      <c r="A20" s="62"/>
      <c r="B20" s="64"/>
      <c r="C20" s="64"/>
      <c r="D20" s="64"/>
      <c r="E20" s="25" t="s">
        <v>34</v>
      </c>
      <c r="F20" s="25" t="s">
        <v>35</v>
      </c>
      <c r="G20" s="25" t="s">
        <v>36</v>
      </c>
      <c r="H20" s="26" t="s">
        <v>37</v>
      </c>
      <c r="I20" s="25" t="s">
        <v>38</v>
      </c>
      <c r="J20" s="25" t="s">
        <v>39</v>
      </c>
      <c r="K20" s="25" t="s">
        <v>40</v>
      </c>
      <c r="L20" s="27" t="s">
        <v>41</v>
      </c>
      <c r="M20" s="64"/>
      <c r="N20" s="64"/>
      <c r="O20" s="24" t="s">
        <v>5</v>
      </c>
      <c r="P20" s="24" t="s">
        <v>42</v>
      </c>
      <c r="Q20" s="28" t="s">
        <v>19</v>
      </c>
      <c r="R20" s="29" t="s">
        <v>42</v>
      </c>
      <c r="S20" s="64"/>
      <c r="T20" s="64"/>
      <c r="U20" s="64"/>
      <c r="V20" s="64"/>
      <c r="W20" s="64"/>
      <c r="X20" s="64"/>
      <c r="Y20" s="12"/>
      <c r="Z20" s="2"/>
    </row>
    <row r="21" spans="1:26" ht="15" x14ac:dyDescent="0.25">
      <c r="A21" s="30">
        <v>1</v>
      </c>
      <c r="B21" s="30">
        <v>13521041</v>
      </c>
      <c r="C21" s="31" t="s">
        <v>159</v>
      </c>
      <c r="D21" s="32" t="s">
        <v>7</v>
      </c>
      <c r="E21" s="33">
        <f ca="1">VLOOKUP($B21, Rekap_Tugas!$A$3:$I$161, 4, FALSE)</f>
        <v>92</v>
      </c>
      <c r="F21" s="33">
        <f ca="1">VLOOKUP($B21, Rekap_Tugas!$A$3:$I$161, 5, FALSE)</f>
        <v>115</v>
      </c>
      <c r="G21" s="33">
        <f ca="1">VLOOKUP($B21, Rekap_Tugas!$A$3:$I$161, 6, FALSE)</f>
        <v>100</v>
      </c>
      <c r="H21" s="34">
        <f t="shared" ref="H21:H52" ca="1" si="14">AVERAGE(E21:G21)</f>
        <v>102.33333333333333</v>
      </c>
      <c r="I21" s="33">
        <f ca="1">VLOOKUP($B21, Rekap_Tugas!$A$3:$I$161, 7, FALSE)</f>
        <v>107</v>
      </c>
      <c r="J21" s="33">
        <f ca="1">VLOOKUP($B21, Rekap_Tugas!$A$3:$I$161, 8, FALSE)</f>
        <v>109</v>
      </c>
      <c r="K21" s="33">
        <f ca="1">VLOOKUP($B21, Rekap_Tugas!$A$3:$I$161, 9, FALSE)</f>
        <v>102.5</v>
      </c>
      <c r="L21" s="35">
        <f t="shared" ref="L21:L52" ca="1" si="15">AVERAGE(I21:K21)</f>
        <v>106.16666666666667</v>
      </c>
      <c r="M21" s="36">
        <f>VLOOKUP(B21,UTS!$B$5:$M$163,12,FALSE)</f>
        <v>60.5</v>
      </c>
      <c r="N21" s="37">
        <f>VLOOKUP(B21,UAS!$B$5:$L$163,11,FALSE)</f>
        <v>84.5</v>
      </c>
      <c r="O21" s="38" t="s">
        <v>15</v>
      </c>
      <c r="P21" s="39">
        <v>75</v>
      </c>
      <c r="Q21" s="30">
        <v>22</v>
      </c>
      <c r="R21" s="36">
        <f t="shared" ref="R21:R52" si="16">(Q21/27)*100</f>
        <v>81.481481481481481</v>
      </c>
      <c r="S21" s="35">
        <f t="shared" ref="S21:S52" ca="1" si="17">$H$16*H21+$L$16*L21+$M$16*M21+$N$16*N21+$P$16*P21+$R$16*R21</f>
        <v>82.374537037037044</v>
      </c>
      <c r="T21" s="24" t="str">
        <f>VLOOKUP(B21,UAS!$B$5:$M$163,12,FALSE)</f>
        <v>AB</v>
      </c>
      <c r="U21" s="40" t="str">
        <f t="shared" ref="U21:U52" ca="1" si="18">VLOOKUP(S21,$T$4:$U$10,2)</f>
        <v>AB</v>
      </c>
      <c r="V21" s="41" t="str">
        <f t="shared" ref="V21:V52" si="19">C21</f>
        <v>Muhammad Hanan</v>
      </c>
      <c r="W21" s="42">
        <f t="shared" ref="W21:W52" si="20">B21</f>
        <v>13521041</v>
      </c>
      <c r="X21" s="42">
        <f t="shared" ref="X21:X52" si="21">A21</f>
        <v>1</v>
      </c>
      <c r="Y21" s="12"/>
      <c r="Z21" s="2"/>
    </row>
    <row r="22" spans="1:26" ht="15" x14ac:dyDescent="0.25">
      <c r="A22" s="30">
        <v>2</v>
      </c>
      <c r="B22" s="30">
        <v>13521043</v>
      </c>
      <c r="C22" s="31" t="s">
        <v>77</v>
      </c>
      <c r="D22" s="32" t="s">
        <v>7</v>
      </c>
      <c r="E22" s="33">
        <f ca="1">VLOOKUP($B22, Rekap_Tugas!$A$3:$I$161, 4, FALSE)</f>
        <v>79</v>
      </c>
      <c r="F22" s="33">
        <f ca="1">VLOOKUP($B22, Rekap_Tugas!$A$3:$I$161, 5, FALSE)</f>
        <v>105</v>
      </c>
      <c r="G22" s="33">
        <f ca="1">VLOOKUP($B22, Rekap_Tugas!$A$3:$I$161, 6, FALSE)</f>
        <v>105</v>
      </c>
      <c r="H22" s="34">
        <f t="shared" ca="1" si="14"/>
        <v>96.333333333333329</v>
      </c>
      <c r="I22" s="33">
        <f ca="1">VLOOKUP($B22, Rekap_Tugas!$A$3:$I$161, 7, FALSE)</f>
        <v>99</v>
      </c>
      <c r="J22" s="33">
        <f ca="1">VLOOKUP($B22, Rekap_Tugas!$A$3:$I$161, 8, FALSE)</f>
        <v>104.5</v>
      </c>
      <c r="K22" s="33">
        <f ca="1">VLOOKUP($B22, Rekap_Tugas!$A$3:$I$161, 9, FALSE)</f>
        <v>97</v>
      </c>
      <c r="L22" s="35">
        <f t="shared" ca="1" si="15"/>
        <v>100.16666666666667</v>
      </c>
      <c r="M22" s="36">
        <f>VLOOKUP(B22,UTS!$B$5:$M$163,12,FALSE)</f>
        <v>86</v>
      </c>
      <c r="N22" s="37">
        <f>VLOOKUP(B22,UAS!$B$5:$L$163,11,FALSE)</f>
        <v>96</v>
      </c>
      <c r="O22" s="38" t="s">
        <v>18</v>
      </c>
      <c r="P22" s="39">
        <v>85</v>
      </c>
      <c r="Q22" s="30">
        <v>27</v>
      </c>
      <c r="R22" s="36">
        <f t="shared" si="16"/>
        <v>100</v>
      </c>
      <c r="S22" s="35">
        <f t="shared" ca="1" si="17"/>
        <v>93.1</v>
      </c>
      <c r="T22" s="24" t="str">
        <f>VLOOKUP(B22,UAS!$B$5:$M$163,12,FALSE)</f>
        <v>A</v>
      </c>
      <c r="U22" s="40" t="str">
        <f t="shared" ca="1" si="18"/>
        <v>A</v>
      </c>
      <c r="V22" s="41" t="str">
        <f t="shared" si="19"/>
        <v>Nigel Sahl</v>
      </c>
      <c r="W22" s="42">
        <f t="shared" si="20"/>
        <v>13521043</v>
      </c>
      <c r="X22" s="42">
        <f t="shared" si="21"/>
        <v>2</v>
      </c>
      <c r="Y22" s="12"/>
      <c r="Z22" s="2"/>
    </row>
    <row r="23" spans="1:26" ht="15" x14ac:dyDescent="0.25">
      <c r="A23" s="30">
        <v>3</v>
      </c>
      <c r="B23" s="30">
        <v>13521045</v>
      </c>
      <c r="C23" s="31" t="s">
        <v>74</v>
      </c>
      <c r="D23" s="32" t="s">
        <v>7</v>
      </c>
      <c r="E23" s="33">
        <f ca="1">VLOOKUP($B23, Rekap_Tugas!$A$3:$I$161, 4, FALSE)</f>
        <v>92</v>
      </c>
      <c r="F23" s="33">
        <f ca="1">VLOOKUP($B23, Rekap_Tugas!$A$3:$I$161, 5, FALSE)</f>
        <v>114</v>
      </c>
      <c r="G23" s="33">
        <f ca="1">VLOOKUP($B23, Rekap_Tugas!$A$3:$I$161, 6, FALSE)</f>
        <v>100</v>
      </c>
      <c r="H23" s="34">
        <f t="shared" ca="1" si="14"/>
        <v>102</v>
      </c>
      <c r="I23" s="33">
        <f ca="1">VLOOKUP($B23, Rekap_Tugas!$A$3:$I$161, 7, FALSE)</f>
        <v>107</v>
      </c>
      <c r="J23" s="33">
        <f ca="1">VLOOKUP($B23, Rekap_Tugas!$A$3:$I$161, 8, FALSE)</f>
        <v>105.5</v>
      </c>
      <c r="K23" s="33">
        <f ca="1">VLOOKUP($B23, Rekap_Tugas!$A$3:$I$161, 9, FALSE)</f>
        <v>102</v>
      </c>
      <c r="L23" s="35">
        <f t="shared" ca="1" si="15"/>
        <v>104.83333333333333</v>
      </c>
      <c r="M23" s="36">
        <f>VLOOKUP(B23,UTS!$B$5:$M$163,12,FALSE)</f>
        <v>88.5</v>
      </c>
      <c r="N23" s="37">
        <f>VLOOKUP(B23,UAS!$B$5:$L$163,11,FALSE)</f>
        <v>91</v>
      </c>
      <c r="O23" s="38" t="s">
        <v>75</v>
      </c>
      <c r="P23" s="39">
        <v>80</v>
      </c>
      <c r="Q23" s="30">
        <v>26</v>
      </c>
      <c r="R23" s="36">
        <f t="shared" si="16"/>
        <v>96.296296296296291</v>
      </c>
      <c r="S23" s="35">
        <f t="shared" ca="1" si="17"/>
        <v>93.52615740740741</v>
      </c>
      <c r="T23" s="24" t="str">
        <f>VLOOKUP(B23,UAS!$B$5:$M$163,12,FALSE)</f>
        <v>A</v>
      </c>
      <c r="U23" s="40" t="str">
        <f t="shared" ca="1" si="18"/>
        <v>A</v>
      </c>
      <c r="V23" s="41" t="str">
        <f t="shared" si="19"/>
        <v>Fakhri Muhammad Mahendra</v>
      </c>
      <c r="W23" s="42">
        <f t="shared" si="20"/>
        <v>13521045</v>
      </c>
      <c r="X23" s="42">
        <f t="shared" si="21"/>
        <v>3</v>
      </c>
      <c r="Y23" s="12"/>
      <c r="Z23" s="2"/>
    </row>
    <row r="24" spans="1:26" ht="15" x14ac:dyDescent="0.25">
      <c r="A24" s="30">
        <v>4</v>
      </c>
      <c r="B24" s="30">
        <v>13521047</v>
      </c>
      <c r="C24" s="31" t="s">
        <v>132</v>
      </c>
      <c r="D24" s="32" t="s">
        <v>7</v>
      </c>
      <c r="E24" s="33">
        <f ca="1">VLOOKUP($B24, Rekap_Tugas!$A$3:$I$161, 4, FALSE)</f>
        <v>92</v>
      </c>
      <c r="F24" s="33">
        <f ca="1">VLOOKUP($B24, Rekap_Tugas!$A$3:$I$161, 5, FALSE)</f>
        <v>99.5</v>
      </c>
      <c r="G24" s="33">
        <f ca="1">VLOOKUP($B24, Rekap_Tugas!$A$3:$I$161, 6, FALSE)</f>
        <v>110</v>
      </c>
      <c r="H24" s="34">
        <f t="shared" ca="1" si="14"/>
        <v>100.5</v>
      </c>
      <c r="I24" s="33">
        <f ca="1">VLOOKUP($B24, Rekap_Tugas!$A$3:$I$161, 7, FALSE)</f>
        <v>105</v>
      </c>
      <c r="J24" s="33">
        <f ca="1">VLOOKUP($B24, Rekap_Tugas!$A$3:$I$161, 8, FALSE)</f>
        <v>112</v>
      </c>
      <c r="K24" s="33">
        <f ca="1">VLOOKUP($B24, Rekap_Tugas!$A$3:$I$161, 9, FALSE)</f>
        <v>103</v>
      </c>
      <c r="L24" s="35">
        <f t="shared" ca="1" si="15"/>
        <v>106.66666666666667</v>
      </c>
      <c r="M24" s="36">
        <f>VLOOKUP(B24,UTS!$B$5:$M$163,12,FALSE)</f>
        <v>86.5</v>
      </c>
      <c r="N24" s="37">
        <f>VLOOKUP(B24,UAS!$B$5:$L$163,11,FALSE)</f>
        <v>69</v>
      </c>
      <c r="O24" s="38" t="s">
        <v>133</v>
      </c>
      <c r="P24" s="39">
        <v>85</v>
      </c>
      <c r="Q24" s="30">
        <v>27</v>
      </c>
      <c r="R24" s="36">
        <f t="shared" si="16"/>
        <v>100</v>
      </c>
      <c r="S24" s="35">
        <f t="shared" ca="1" si="17"/>
        <v>86.418750000000003</v>
      </c>
      <c r="T24" s="24" t="str">
        <f>VLOOKUP(B24,UAS!$B$5:$M$163,12,FALSE)</f>
        <v>A</v>
      </c>
      <c r="U24" s="40" t="str">
        <f t="shared" ca="1" si="18"/>
        <v>A</v>
      </c>
      <c r="V24" s="41" t="str">
        <f t="shared" si="19"/>
        <v>Muhammad Equilibrie Fajria</v>
      </c>
      <c r="W24" s="42">
        <f t="shared" si="20"/>
        <v>13521047</v>
      </c>
      <c r="X24" s="42">
        <f t="shared" si="21"/>
        <v>4</v>
      </c>
      <c r="Y24" s="12"/>
      <c r="Z24" s="2"/>
    </row>
    <row r="25" spans="1:26" ht="15" x14ac:dyDescent="0.25">
      <c r="A25" s="30">
        <v>5</v>
      </c>
      <c r="B25" s="30">
        <v>13521049</v>
      </c>
      <c r="C25" s="31" t="s">
        <v>68</v>
      </c>
      <c r="D25" s="32" t="s">
        <v>7</v>
      </c>
      <c r="E25" s="33">
        <f ca="1">VLOOKUP($B25, Rekap_Tugas!$A$3:$I$161, 4, FALSE)</f>
        <v>92</v>
      </c>
      <c r="F25" s="33">
        <f ca="1">VLOOKUP($B25, Rekap_Tugas!$A$3:$I$161, 5, FALSE)</f>
        <v>115</v>
      </c>
      <c r="G25" s="33">
        <f ca="1">VLOOKUP($B25, Rekap_Tugas!$A$3:$I$161, 6, FALSE)</f>
        <v>110</v>
      </c>
      <c r="H25" s="34">
        <f t="shared" ca="1" si="14"/>
        <v>105.66666666666667</v>
      </c>
      <c r="I25" s="33">
        <f ca="1">VLOOKUP($B25, Rekap_Tugas!$A$3:$I$161, 7, FALSE)</f>
        <v>108</v>
      </c>
      <c r="J25" s="33">
        <f ca="1">VLOOKUP($B25, Rekap_Tugas!$A$3:$I$161, 8, FALSE)</f>
        <v>111</v>
      </c>
      <c r="K25" s="33">
        <f ca="1">VLOOKUP($B25, Rekap_Tugas!$A$3:$I$161, 9, FALSE)</f>
        <v>103.5</v>
      </c>
      <c r="L25" s="35">
        <f t="shared" ca="1" si="15"/>
        <v>107.5</v>
      </c>
      <c r="M25" s="36">
        <f>VLOOKUP(B25,UTS!$B$5:$M$163,12,FALSE)</f>
        <v>90</v>
      </c>
      <c r="N25" s="37">
        <f>VLOOKUP(B25,UAS!$B$5:$L$163,11,FALSE)</f>
        <v>88.5</v>
      </c>
      <c r="O25" s="38" t="s">
        <v>17</v>
      </c>
      <c r="P25" s="39">
        <v>80</v>
      </c>
      <c r="Q25" s="30">
        <v>25</v>
      </c>
      <c r="R25" s="36">
        <f t="shared" si="16"/>
        <v>92.592592592592595</v>
      </c>
      <c r="S25" s="35">
        <f t="shared" ca="1" si="17"/>
        <v>94.071064814814804</v>
      </c>
      <c r="T25" s="24" t="str">
        <f>VLOOKUP(B25,UAS!$B$5:$M$163,12,FALSE)</f>
        <v>E</v>
      </c>
      <c r="U25" s="40" t="str">
        <f t="shared" ca="1" si="18"/>
        <v>A</v>
      </c>
      <c r="V25" s="41" t="str">
        <f t="shared" si="19"/>
        <v>Brian Kheng</v>
      </c>
      <c r="W25" s="42">
        <f t="shared" si="20"/>
        <v>13521049</v>
      </c>
      <c r="X25" s="42">
        <f t="shared" si="21"/>
        <v>5</v>
      </c>
      <c r="Y25" s="12"/>
      <c r="Z25" s="2"/>
    </row>
    <row r="26" spans="1:26" ht="15" x14ac:dyDescent="0.25">
      <c r="A26" s="30">
        <v>6</v>
      </c>
      <c r="B26" s="30">
        <v>13521051</v>
      </c>
      <c r="C26" s="31" t="s">
        <v>171</v>
      </c>
      <c r="D26" s="32" t="s">
        <v>7</v>
      </c>
      <c r="E26" s="33">
        <f ca="1">VLOOKUP($B26, Rekap_Tugas!$A$3:$I$161, 4, FALSE)</f>
        <v>88.5</v>
      </c>
      <c r="F26" s="33">
        <f ca="1">VLOOKUP($B26, Rekap_Tugas!$A$3:$I$161, 5, FALSE)</f>
        <v>115</v>
      </c>
      <c r="G26" s="33">
        <f ca="1">VLOOKUP($B26, Rekap_Tugas!$A$3:$I$161, 6, FALSE)</f>
        <v>100</v>
      </c>
      <c r="H26" s="34">
        <f t="shared" ca="1" si="14"/>
        <v>101.16666666666667</v>
      </c>
      <c r="I26" s="33">
        <f ca="1">VLOOKUP($B26, Rekap_Tugas!$A$3:$I$161, 7, FALSE)</f>
        <v>99</v>
      </c>
      <c r="J26" s="33">
        <f ca="1">VLOOKUP($B26, Rekap_Tugas!$A$3:$I$161, 8, FALSE)</f>
        <v>110</v>
      </c>
      <c r="K26" s="33">
        <f ca="1">VLOOKUP($B26, Rekap_Tugas!$A$3:$I$161, 9, FALSE)</f>
        <v>50</v>
      </c>
      <c r="L26" s="35">
        <f t="shared" ca="1" si="15"/>
        <v>86.333333333333329</v>
      </c>
      <c r="M26" s="36">
        <f>VLOOKUP(B26,UTS!$B$5:$M$163,12,FALSE)</f>
        <v>67.5</v>
      </c>
      <c r="N26" s="37">
        <f>VLOOKUP(B26,UAS!$B$5:$L$163,11,FALSE)</f>
        <v>78.5</v>
      </c>
      <c r="O26" s="38" t="s">
        <v>17</v>
      </c>
      <c r="P26" s="39">
        <v>80</v>
      </c>
      <c r="Q26" s="30">
        <v>21</v>
      </c>
      <c r="R26" s="36">
        <f t="shared" si="16"/>
        <v>77.777777777777786</v>
      </c>
      <c r="S26" s="35">
        <f t="shared" ca="1" si="17"/>
        <v>79.694444444444443</v>
      </c>
      <c r="T26" s="24" t="str">
        <f>VLOOKUP(B26,UAS!$B$5:$M$163,12,FALSE)</f>
        <v>AB</v>
      </c>
      <c r="U26" s="40" t="str">
        <f t="shared" ca="1" si="18"/>
        <v>AB</v>
      </c>
      <c r="V26" s="41" t="str">
        <f t="shared" si="19"/>
        <v>Manuella Ivana Uli Sianipar</v>
      </c>
      <c r="W26" s="42">
        <f t="shared" si="20"/>
        <v>13521051</v>
      </c>
      <c r="X26" s="42">
        <f t="shared" si="21"/>
        <v>6</v>
      </c>
      <c r="Y26" s="12"/>
      <c r="Z26" s="2"/>
    </row>
    <row r="27" spans="1:26" ht="15" x14ac:dyDescent="0.25">
      <c r="A27" s="30">
        <v>7</v>
      </c>
      <c r="B27" s="30">
        <v>13521053</v>
      </c>
      <c r="C27" s="31" t="s">
        <v>191</v>
      </c>
      <c r="D27" s="32" t="s">
        <v>7</v>
      </c>
      <c r="E27" s="33">
        <f ca="1">VLOOKUP($B27, Rekap_Tugas!$A$3:$I$161, 4, FALSE)</f>
        <v>95</v>
      </c>
      <c r="F27" s="33">
        <f ca="1">VLOOKUP($B27, Rekap_Tugas!$A$3:$I$161, 5, FALSE)</f>
        <v>105</v>
      </c>
      <c r="G27" s="33">
        <f ca="1">VLOOKUP($B27, Rekap_Tugas!$A$3:$I$161, 6, FALSE)</f>
        <v>110</v>
      </c>
      <c r="H27" s="34">
        <f t="shared" ca="1" si="14"/>
        <v>103.33333333333333</v>
      </c>
      <c r="I27" s="33">
        <f ca="1">VLOOKUP($B27, Rekap_Tugas!$A$3:$I$161, 7, FALSE)</f>
        <v>104</v>
      </c>
      <c r="J27" s="33">
        <f ca="1">VLOOKUP($B27, Rekap_Tugas!$A$3:$I$161, 8, FALSE)</f>
        <v>102</v>
      </c>
      <c r="K27" s="33">
        <f ca="1">VLOOKUP($B27, Rekap_Tugas!$A$3:$I$161, 9, FALSE)</f>
        <v>50</v>
      </c>
      <c r="L27" s="35">
        <f t="shared" ca="1" si="15"/>
        <v>85.333333333333329</v>
      </c>
      <c r="M27" s="36">
        <f>VLOOKUP(B27,UTS!$B$5:$M$163,12,FALSE)</f>
        <v>55</v>
      </c>
      <c r="N27" s="37">
        <f>VLOOKUP(B27,UAS!$B$5:$L$163,11,FALSE)</f>
        <v>76</v>
      </c>
      <c r="O27" s="38" t="s">
        <v>17</v>
      </c>
      <c r="P27" s="39">
        <v>80</v>
      </c>
      <c r="Q27" s="30">
        <v>26</v>
      </c>
      <c r="R27" s="36">
        <f t="shared" si="16"/>
        <v>96.296296296296291</v>
      </c>
      <c r="S27" s="35">
        <f t="shared" ca="1" si="17"/>
        <v>75.644907407407402</v>
      </c>
      <c r="T27" s="24" t="str">
        <f>VLOOKUP(B27,UAS!$B$5:$M$163,12,FALSE)</f>
        <v>AB</v>
      </c>
      <c r="U27" s="40" t="str">
        <f t="shared" ca="1" si="18"/>
        <v>B</v>
      </c>
      <c r="V27" s="41" t="str">
        <f t="shared" si="19"/>
        <v>Athif Nirwasito</v>
      </c>
      <c r="W27" s="42">
        <f t="shared" si="20"/>
        <v>13521053</v>
      </c>
      <c r="X27" s="42">
        <f t="shared" si="21"/>
        <v>7</v>
      </c>
      <c r="Y27" s="12"/>
      <c r="Z27" s="2"/>
    </row>
    <row r="28" spans="1:26" ht="15" x14ac:dyDescent="0.25">
      <c r="A28" s="30">
        <v>8</v>
      </c>
      <c r="B28" s="30">
        <v>13521055</v>
      </c>
      <c r="C28" s="31" t="s">
        <v>108</v>
      </c>
      <c r="D28" s="32" t="s">
        <v>7</v>
      </c>
      <c r="E28" s="33">
        <f ca="1">VLOOKUP($B28, Rekap_Tugas!$A$3:$I$161, 4, FALSE)</f>
        <v>102</v>
      </c>
      <c r="F28" s="33">
        <f ca="1">VLOOKUP($B28, Rekap_Tugas!$A$3:$I$161, 5, FALSE)</f>
        <v>113</v>
      </c>
      <c r="G28" s="33">
        <f ca="1">VLOOKUP($B28, Rekap_Tugas!$A$3:$I$161, 6, FALSE)</f>
        <v>110</v>
      </c>
      <c r="H28" s="34">
        <f t="shared" ca="1" si="14"/>
        <v>108.33333333333333</v>
      </c>
      <c r="I28" s="33">
        <f ca="1">VLOOKUP($B28, Rekap_Tugas!$A$3:$I$161, 7, FALSE)</f>
        <v>105</v>
      </c>
      <c r="J28" s="33">
        <f ca="1">VLOOKUP($B28, Rekap_Tugas!$A$3:$I$161, 8, FALSE)</f>
        <v>115</v>
      </c>
      <c r="K28" s="33">
        <f ca="1">VLOOKUP($B28, Rekap_Tugas!$A$3:$I$161, 9, FALSE)</f>
        <v>108</v>
      </c>
      <c r="L28" s="35">
        <f t="shared" ca="1" si="15"/>
        <v>109.33333333333333</v>
      </c>
      <c r="M28" s="36">
        <f>VLOOKUP(B28,UTS!$B$5:$M$163,12,FALSE)</f>
        <v>72.5</v>
      </c>
      <c r="N28" s="37">
        <f>VLOOKUP(B28,UAS!$B$5:$L$163,11,FALSE)</f>
        <v>87</v>
      </c>
      <c r="O28" s="38" t="s">
        <v>18</v>
      </c>
      <c r="P28" s="39">
        <v>85</v>
      </c>
      <c r="Q28" s="30">
        <v>27</v>
      </c>
      <c r="R28" s="36">
        <f t="shared" si="16"/>
        <v>100</v>
      </c>
      <c r="S28" s="35">
        <f t="shared" ca="1" si="17"/>
        <v>89.243750000000006</v>
      </c>
      <c r="T28" s="24" t="str">
        <f>VLOOKUP(B28,UAS!$B$5:$M$163,12,FALSE)</f>
        <v>A</v>
      </c>
      <c r="U28" s="40" t="str">
        <f t="shared" ca="1" si="18"/>
        <v>A</v>
      </c>
      <c r="V28" s="41" t="str">
        <f t="shared" si="19"/>
        <v>Muhammad Bangkit Dwi Cahyono</v>
      </c>
      <c r="W28" s="42">
        <f t="shared" si="20"/>
        <v>13521055</v>
      </c>
      <c r="X28" s="42">
        <f t="shared" si="21"/>
        <v>8</v>
      </c>
      <c r="Y28" s="12"/>
      <c r="Z28" s="2"/>
    </row>
    <row r="29" spans="1:26" ht="15" x14ac:dyDescent="0.25">
      <c r="A29" s="30">
        <v>9</v>
      </c>
      <c r="B29" s="30">
        <v>13521057</v>
      </c>
      <c r="C29" s="31" t="s">
        <v>170</v>
      </c>
      <c r="D29" s="32" t="s">
        <v>7</v>
      </c>
      <c r="E29" s="33">
        <f ca="1">VLOOKUP($B29, Rekap_Tugas!$A$3:$I$161, 4, FALSE)</f>
        <v>90.5</v>
      </c>
      <c r="F29" s="33">
        <f ca="1">VLOOKUP($B29, Rekap_Tugas!$A$3:$I$161, 5, FALSE)</f>
        <v>111</v>
      </c>
      <c r="G29" s="33">
        <f ca="1">VLOOKUP($B29, Rekap_Tugas!$A$3:$I$161, 6, FALSE)</f>
        <v>105</v>
      </c>
      <c r="H29" s="34">
        <f t="shared" ca="1" si="14"/>
        <v>102.16666666666667</v>
      </c>
      <c r="I29" s="33">
        <f ca="1">VLOOKUP($B29, Rekap_Tugas!$A$3:$I$161, 7, FALSE)</f>
        <v>99</v>
      </c>
      <c r="J29" s="33">
        <f ca="1">VLOOKUP($B29, Rekap_Tugas!$A$3:$I$161, 8, FALSE)</f>
        <v>102.5</v>
      </c>
      <c r="K29" s="33">
        <f ca="1">VLOOKUP($B29, Rekap_Tugas!$A$3:$I$161, 9, FALSE)</f>
        <v>102</v>
      </c>
      <c r="L29" s="35">
        <f t="shared" ca="1" si="15"/>
        <v>101.16666666666667</v>
      </c>
      <c r="M29" s="36">
        <f>VLOOKUP(B29,UTS!$B$5:$M$163,12,FALSE)</f>
        <v>66.5</v>
      </c>
      <c r="N29" s="37">
        <f>VLOOKUP(B29,UAS!$B$5:$L$163,11,FALSE)</f>
        <v>83</v>
      </c>
      <c r="O29" s="38"/>
      <c r="P29" s="39"/>
      <c r="Q29" s="30">
        <v>27</v>
      </c>
      <c r="R29" s="36">
        <f t="shared" si="16"/>
        <v>100</v>
      </c>
      <c r="S29" s="35">
        <f t="shared" ca="1" si="17"/>
        <v>79.71875</v>
      </c>
      <c r="T29" s="24" t="str">
        <f>VLOOKUP(B29,UAS!$B$5:$M$163,12,FALSE)</f>
        <v>A</v>
      </c>
      <c r="U29" s="40" t="str">
        <f t="shared" ca="1" si="18"/>
        <v>AB</v>
      </c>
      <c r="V29" s="41" t="str">
        <f t="shared" si="19"/>
        <v>Hosea Nathanael Abetnego</v>
      </c>
      <c r="W29" s="42">
        <f t="shared" si="20"/>
        <v>13521057</v>
      </c>
      <c r="X29" s="42">
        <f t="shared" si="21"/>
        <v>9</v>
      </c>
      <c r="Y29" s="12"/>
      <c r="Z29" s="2"/>
    </row>
    <row r="30" spans="1:26" ht="15" x14ac:dyDescent="0.25">
      <c r="A30" s="30">
        <v>10</v>
      </c>
      <c r="B30" s="30">
        <v>13521059</v>
      </c>
      <c r="C30" s="31" t="s">
        <v>94</v>
      </c>
      <c r="D30" s="32" t="s">
        <v>7</v>
      </c>
      <c r="E30" s="33">
        <f ca="1">VLOOKUP($B30, Rekap_Tugas!$A$3:$I$161, 4, FALSE)</f>
        <v>94.5</v>
      </c>
      <c r="F30" s="33">
        <f ca="1">VLOOKUP($B30, Rekap_Tugas!$A$3:$I$161, 5, FALSE)</f>
        <v>114</v>
      </c>
      <c r="G30" s="33">
        <f ca="1">VLOOKUP($B30, Rekap_Tugas!$A$3:$I$161, 6, FALSE)</f>
        <v>100</v>
      </c>
      <c r="H30" s="34">
        <f t="shared" ca="1" si="14"/>
        <v>102.83333333333333</v>
      </c>
      <c r="I30" s="33">
        <f ca="1">VLOOKUP($B30, Rekap_Tugas!$A$3:$I$161, 7, FALSE)</f>
        <v>108</v>
      </c>
      <c r="J30" s="33">
        <f ca="1">VLOOKUP($B30, Rekap_Tugas!$A$3:$I$161, 8, FALSE)</f>
        <v>111</v>
      </c>
      <c r="K30" s="33">
        <f ca="1">VLOOKUP($B30, Rekap_Tugas!$A$3:$I$161, 9, FALSE)</f>
        <v>95.5</v>
      </c>
      <c r="L30" s="35">
        <f t="shared" ca="1" si="15"/>
        <v>104.83333333333333</v>
      </c>
      <c r="M30" s="36">
        <f>VLOOKUP(B30,UTS!$B$5:$M$163,12,FALSE)</f>
        <v>84</v>
      </c>
      <c r="N30" s="37">
        <f>VLOOKUP(B30,UAS!$B$5:$L$163,11,FALSE)</f>
        <v>85.5</v>
      </c>
      <c r="O30" s="38" t="s">
        <v>18</v>
      </c>
      <c r="P30" s="39">
        <v>85</v>
      </c>
      <c r="Q30" s="30">
        <v>26</v>
      </c>
      <c r="R30" s="36">
        <f t="shared" si="16"/>
        <v>96.296296296296291</v>
      </c>
      <c r="S30" s="35">
        <f t="shared" ca="1" si="17"/>
        <v>90.77615740740741</v>
      </c>
      <c r="T30" s="24" t="str">
        <f>VLOOKUP(B30,UAS!$B$5:$M$163,12,FALSE)</f>
        <v>A</v>
      </c>
      <c r="U30" s="40" t="str">
        <f t="shared" ca="1" si="18"/>
        <v>A</v>
      </c>
      <c r="V30" s="41" t="str">
        <f t="shared" si="19"/>
        <v>Arleen Chrysantha Gunardi</v>
      </c>
      <c r="W30" s="42">
        <f t="shared" si="20"/>
        <v>13521059</v>
      </c>
      <c r="X30" s="42">
        <f t="shared" si="21"/>
        <v>10</v>
      </c>
      <c r="Y30" s="12"/>
      <c r="Z30" s="2"/>
    </row>
    <row r="31" spans="1:26" ht="15" x14ac:dyDescent="0.25">
      <c r="A31" s="30">
        <v>11</v>
      </c>
      <c r="B31" s="30">
        <v>13521061</v>
      </c>
      <c r="C31" s="31" t="s">
        <v>143</v>
      </c>
      <c r="D31" s="32" t="s">
        <v>7</v>
      </c>
      <c r="E31" s="33">
        <f ca="1">VLOOKUP($B31, Rekap_Tugas!$A$3:$I$161, 4, FALSE)</f>
        <v>87</v>
      </c>
      <c r="F31" s="33">
        <f ca="1">VLOOKUP($B31, Rekap_Tugas!$A$3:$I$161, 5, FALSE)</f>
        <v>99.5</v>
      </c>
      <c r="G31" s="33">
        <f ca="1">VLOOKUP($B31, Rekap_Tugas!$A$3:$I$161, 6, FALSE)</f>
        <v>90</v>
      </c>
      <c r="H31" s="34">
        <f t="shared" ca="1" si="14"/>
        <v>92.166666666666671</v>
      </c>
      <c r="I31" s="33">
        <f ca="1">VLOOKUP($B31, Rekap_Tugas!$A$3:$I$161, 7, FALSE)</f>
        <v>107</v>
      </c>
      <c r="J31" s="33">
        <f ca="1">VLOOKUP($B31, Rekap_Tugas!$A$3:$I$161, 8, FALSE)</f>
        <v>108</v>
      </c>
      <c r="K31" s="33">
        <f ca="1">VLOOKUP($B31, Rekap_Tugas!$A$3:$I$161, 9, FALSE)</f>
        <v>82</v>
      </c>
      <c r="L31" s="35">
        <f t="shared" ca="1" si="15"/>
        <v>99</v>
      </c>
      <c r="M31" s="36">
        <f>VLOOKUP(B31,UTS!$B$5:$M$163,12,FALSE)</f>
        <v>74</v>
      </c>
      <c r="N31" s="37">
        <f>VLOOKUP(B31,UAS!$B$5:$L$163,11,FALSE)</f>
        <v>82.5</v>
      </c>
      <c r="O31" s="38" t="s">
        <v>133</v>
      </c>
      <c r="P31" s="39">
        <v>85</v>
      </c>
      <c r="Q31" s="30">
        <v>25</v>
      </c>
      <c r="R31" s="36">
        <f t="shared" si="16"/>
        <v>92.592592592592595</v>
      </c>
      <c r="S31" s="35">
        <f t="shared" ca="1" si="17"/>
        <v>84.146064814814807</v>
      </c>
      <c r="T31" s="24" t="str">
        <f>VLOOKUP(B31,UAS!$B$5:$M$163,12,FALSE)</f>
        <v>AB</v>
      </c>
      <c r="U31" s="40" t="str">
        <f t="shared" ca="1" si="18"/>
        <v>A</v>
      </c>
      <c r="V31" s="41" t="str">
        <f t="shared" si="19"/>
        <v>Alex Sander</v>
      </c>
      <c r="W31" s="42">
        <f t="shared" si="20"/>
        <v>13521061</v>
      </c>
      <c r="X31" s="42">
        <f t="shared" si="21"/>
        <v>11</v>
      </c>
      <c r="Y31" s="12"/>
      <c r="Z31" s="2"/>
    </row>
    <row r="32" spans="1:26" ht="15" x14ac:dyDescent="0.25">
      <c r="A32" s="30">
        <v>12</v>
      </c>
      <c r="B32" s="30">
        <v>13521063</v>
      </c>
      <c r="C32" s="31" t="s">
        <v>163</v>
      </c>
      <c r="D32" s="32" t="s">
        <v>7</v>
      </c>
      <c r="E32" s="33">
        <f ca="1">VLOOKUP($B32, Rekap_Tugas!$A$3:$I$161, 4, FALSE)</f>
        <v>45</v>
      </c>
      <c r="F32" s="33">
        <f ca="1">VLOOKUP($B32, Rekap_Tugas!$A$3:$I$161, 5, FALSE)</f>
        <v>114</v>
      </c>
      <c r="G32" s="33">
        <f ca="1">VLOOKUP($B32, Rekap_Tugas!$A$3:$I$161, 6, FALSE)</f>
        <v>105</v>
      </c>
      <c r="H32" s="34">
        <f t="shared" ca="1" si="14"/>
        <v>88</v>
      </c>
      <c r="I32" s="33">
        <f ca="1">VLOOKUP($B32, Rekap_Tugas!$A$3:$I$161, 7, FALSE)</f>
        <v>106</v>
      </c>
      <c r="J32" s="33">
        <f ca="1">VLOOKUP($B32, Rekap_Tugas!$A$3:$I$161, 8, FALSE)</f>
        <v>107</v>
      </c>
      <c r="K32" s="33">
        <f ca="1">VLOOKUP($B32, Rekap_Tugas!$A$3:$I$161, 9, FALSE)</f>
        <v>100</v>
      </c>
      <c r="L32" s="35">
        <f t="shared" ca="1" si="15"/>
        <v>104.33333333333333</v>
      </c>
      <c r="M32" s="36">
        <f>VLOOKUP(B32,UTS!$B$5:$M$163,12,FALSE)</f>
        <v>67</v>
      </c>
      <c r="N32" s="37">
        <f>VLOOKUP(B32,UAS!$B$5:$L$163,11,FALSE)</f>
        <v>79.5</v>
      </c>
      <c r="O32" s="38" t="s">
        <v>44</v>
      </c>
      <c r="P32" s="39">
        <v>90</v>
      </c>
      <c r="Q32" s="30">
        <v>24</v>
      </c>
      <c r="R32" s="36">
        <f t="shared" si="16"/>
        <v>88.888888888888886</v>
      </c>
      <c r="S32" s="35">
        <f t="shared" ca="1" si="17"/>
        <v>81.353472222222223</v>
      </c>
      <c r="T32" s="24" t="str">
        <f>VLOOKUP(B32,UAS!$B$5:$M$163,12,FALSE)</f>
        <v>AB</v>
      </c>
      <c r="U32" s="40" t="str">
        <f t="shared" ca="1" si="18"/>
        <v>AB</v>
      </c>
      <c r="V32" s="41" t="str">
        <f t="shared" si="19"/>
        <v>Salomo Reinhart Gregory Manalu</v>
      </c>
      <c r="W32" s="42">
        <f t="shared" si="20"/>
        <v>13521063</v>
      </c>
      <c r="X32" s="42">
        <f t="shared" si="21"/>
        <v>12</v>
      </c>
      <c r="Y32" s="12"/>
      <c r="Z32" s="2"/>
    </row>
    <row r="33" spans="1:26" ht="15" x14ac:dyDescent="0.25">
      <c r="A33" s="30">
        <v>13</v>
      </c>
      <c r="B33" s="30">
        <v>13521065</v>
      </c>
      <c r="C33" s="31" t="s">
        <v>151</v>
      </c>
      <c r="D33" s="32" t="s">
        <v>7</v>
      </c>
      <c r="E33" s="33">
        <f ca="1">VLOOKUP($B33, Rekap_Tugas!$A$3:$I$161, 4, FALSE)</f>
        <v>94</v>
      </c>
      <c r="F33" s="33">
        <f ca="1">VLOOKUP($B33, Rekap_Tugas!$A$3:$I$161, 5, FALSE)</f>
        <v>113</v>
      </c>
      <c r="G33" s="33">
        <f ca="1">VLOOKUP($B33, Rekap_Tugas!$A$3:$I$161, 6, FALSE)</f>
        <v>107</v>
      </c>
      <c r="H33" s="34">
        <f t="shared" ca="1" si="14"/>
        <v>104.66666666666667</v>
      </c>
      <c r="I33" s="33">
        <f ca="1">VLOOKUP($B33, Rekap_Tugas!$A$3:$I$161, 7, FALSE)</f>
        <v>98</v>
      </c>
      <c r="J33" s="33">
        <f ca="1">VLOOKUP($B33, Rekap_Tugas!$A$3:$I$161, 8, FALSE)</f>
        <v>109</v>
      </c>
      <c r="K33" s="33">
        <f ca="1">VLOOKUP($B33, Rekap_Tugas!$A$3:$I$161, 9, FALSE)</f>
        <v>105.5</v>
      </c>
      <c r="L33" s="35">
        <f t="shared" ca="1" si="15"/>
        <v>104.16666666666667</v>
      </c>
      <c r="M33" s="36">
        <f>VLOOKUP(B33,UTS!$B$5:$M$163,12,FALSE)</f>
        <v>75</v>
      </c>
      <c r="N33" s="37">
        <f>VLOOKUP(B33,UAS!$B$5:$L$163,11,FALSE)</f>
        <v>71.5</v>
      </c>
      <c r="O33" s="38" t="s">
        <v>15</v>
      </c>
      <c r="P33" s="39">
        <v>75</v>
      </c>
      <c r="Q33" s="30">
        <v>26</v>
      </c>
      <c r="R33" s="36">
        <f t="shared" si="16"/>
        <v>96.296296296296291</v>
      </c>
      <c r="S33" s="35">
        <f t="shared" ca="1" si="17"/>
        <v>83.263657407407408</v>
      </c>
      <c r="T33" s="24" t="str">
        <f>VLOOKUP(B33,UAS!$B$5:$M$163,12,FALSE)</f>
        <v>A</v>
      </c>
      <c r="U33" s="40" t="str">
        <f t="shared" ca="1" si="18"/>
        <v>AB</v>
      </c>
      <c r="V33" s="41" t="str">
        <f t="shared" si="19"/>
        <v>Mutawally Nawwar</v>
      </c>
      <c r="W33" s="42">
        <f t="shared" si="20"/>
        <v>13521065</v>
      </c>
      <c r="X33" s="42">
        <f t="shared" si="21"/>
        <v>13</v>
      </c>
      <c r="Y33" s="12"/>
      <c r="Z33" s="2"/>
    </row>
    <row r="34" spans="1:26" ht="15" x14ac:dyDescent="0.25">
      <c r="A34" s="30">
        <v>14</v>
      </c>
      <c r="B34" s="30">
        <v>13521067</v>
      </c>
      <c r="C34" s="31" t="s">
        <v>166</v>
      </c>
      <c r="D34" s="32" t="s">
        <v>7</v>
      </c>
      <c r="E34" s="33">
        <f ca="1">VLOOKUP($B34, Rekap_Tugas!$A$3:$I$161, 4, FALSE)</f>
        <v>79</v>
      </c>
      <c r="F34" s="33">
        <f ca="1">VLOOKUP($B34, Rekap_Tugas!$A$3:$I$161, 5, FALSE)</f>
        <v>115</v>
      </c>
      <c r="G34" s="33">
        <f ca="1">VLOOKUP($B34, Rekap_Tugas!$A$3:$I$161, 6, FALSE)</f>
        <v>90</v>
      </c>
      <c r="H34" s="34">
        <f t="shared" ca="1" si="14"/>
        <v>94.666666666666671</v>
      </c>
      <c r="I34" s="33">
        <f ca="1">VLOOKUP($B34, Rekap_Tugas!$A$3:$I$161, 7, FALSE)</f>
        <v>103</v>
      </c>
      <c r="J34" s="33">
        <f ca="1">VLOOKUP($B34, Rekap_Tugas!$A$3:$I$161, 8, FALSE)</f>
        <v>113</v>
      </c>
      <c r="K34" s="33">
        <f ca="1">VLOOKUP($B34, Rekap_Tugas!$A$3:$I$161, 9, FALSE)</f>
        <v>98</v>
      </c>
      <c r="L34" s="35">
        <f t="shared" ca="1" si="15"/>
        <v>104.66666666666667</v>
      </c>
      <c r="M34" s="36">
        <f>VLOOKUP(B34,UTS!$B$5:$M$163,12,FALSE)</f>
        <v>64.5</v>
      </c>
      <c r="N34" s="37">
        <f>VLOOKUP(B34,UAS!$B$5:$L$163,11,FALSE)</f>
        <v>77.5</v>
      </c>
      <c r="O34" s="38" t="s">
        <v>17</v>
      </c>
      <c r="P34" s="39">
        <v>80</v>
      </c>
      <c r="Q34" s="30">
        <v>26</v>
      </c>
      <c r="R34" s="36">
        <f t="shared" si="16"/>
        <v>96.296296296296291</v>
      </c>
      <c r="S34" s="35">
        <f t="shared" ca="1" si="17"/>
        <v>80.68240740740741</v>
      </c>
      <c r="T34" s="24" t="str">
        <f>VLOOKUP(B34,UAS!$B$5:$M$163,12,FALSE)</f>
        <v xml:space="preserve">A </v>
      </c>
      <c r="U34" s="40" t="str">
        <f t="shared" ca="1" si="18"/>
        <v>AB</v>
      </c>
      <c r="V34" s="41" t="str">
        <f t="shared" si="19"/>
        <v>Yobel Dean Christopher</v>
      </c>
      <c r="W34" s="42">
        <f t="shared" si="20"/>
        <v>13521067</v>
      </c>
      <c r="X34" s="42">
        <f t="shared" si="21"/>
        <v>14</v>
      </c>
      <c r="Y34" s="12"/>
      <c r="Z34" s="2"/>
    </row>
    <row r="35" spans="1:26" ht="15" x14ac:dyDescent="0.25">
      <c r="A35" s="30">
        <v>15</v>
      </c>
      <c r="B35" s="30">
        <v>13521069</v>
      </c>
      <c r="C35" s="31" t="s">
        <v>178</v>
      </c>
      <c r="D35" s="32" t="s">
        <v>7</v>
      </c>
      <c r="E35" s="45">
        <v>77</v>
      </c>
      <c r="F35" s="33">
        <f ca="1">VLOOKUP($B35, Rekap_Tugas!$A$3:$I$161, 5, FALSE)</f>
        <v>115</v>
      </c>
      <c r="G35" s="33">
        <f ca="1">VLOOKUP($B35, Rekap_Tugas!$A$3:$I$161, 6, FALSE)</f>
        <v>110</v>
      </c>
      <c r="H35" s="34">
        <f t="shared" ca="1" si="14"/>
        <v>100.66666666666667</v>
      </c>
      <c r="I35" s="33">
        <f ca="1">VLOOKUP($B35, Rekap_Tugas!$A$3:$I$161, 7, FALSE)</f>
        <v>104</v>
      </c>
      <c r="J35" s="33">
        <f ca="1">VLOOKUP($B35, Rekap_Tugas!$A$3:$I$161, 8, FALSE)</f>
        <v>115</v>
      </c>
      <c r="K35" s="33">
        <f ca="1">VLOOKUP($B35, Rekap_Tugas!$A$3:$I$161, 9, FALSE)</f>
        <v>100</v>
      </c>
      <c r="L35" s="35">
        <f t="shared" ca="1" si="15"/>
        <v>106.33333333333333</v>
      </c>
      <c r="M35" s="36">
        <f>VLOOKUP(B35,UTS!$B$5:$M$163,12,FALSE)</f>
        <v>58.5</v>
      </c>
      <c r="N35" s="37">
        <f>VLOOKUP(B35,UAS!$B$5:$L$163,11,FALSE)</f>
        <v>71.5</v>
      </c>
      <c r="O35" s="38" t="s">
        <v>17</v>
      </c>
      <c r="P35" s="39">
        <v>80</v>
      </c>
      <c r="Q35" s="30">
        <v>27</v>
      </c>
      <c r="R35" s="36">
        <f t="shared" si="16"/>
        <v>100</v>
      </c>
      <c r="S35" s="35">
        <f t="shared" ca="1" si="17"/>
        <v>78.174999999999997</v>
      </c>
      <c r="T35" s="24" t="str">
        <f>VLOOKUP(B35,UAS!$B$5:$M$163,12,FALSE)</f>
        <v>AB</v>
      </c>
      <c r="U35" s="40" t="str">
        <f t="shared" ca="1" si="18"/>
        <v>AB</v>
      </c>
      <c r="V35" s="41" t="str">
        <f t="shared" si="19"/>
        <v>Louis Caesa Kesuma</v>
      </c>
      <c r="W35" s="42">
        <f t="shared" si="20"/>
        <v>13521069</v>
      </c>
      <c r="X35" s="42">
        <f t="shared" si="21"/>
        <v>15</v>
      </c>
      <c r="Y35" s="12"/>
      <c r="Z35" s="2"/>
    </row>
    <row r="36" spans="1:26" ht="15" x14ac:dyDescent="0.25">
      <c r="A36" s="30">
        <v>16</v>
      </c>
      <c r="B36" s="30">
        <v>13521071</v>
      </c>
      <c r="C36" s="31" t="s">
        <v>58</v>
      </c>
      <c r="D36" s="32" t="s">
        <v>7</v>
      </c>
      <c r="E36" s="33">
        <f ca="1">VLOOKUP($B36, Rekap_Tugas!$A$3:$I$161, 4, FALSE)</f>
        <v>94.5</v>
      </c>
      <c r="F36" s="33">
        <f ca="1">VLOOKUP($B36, Rekap_Tugas!$A$3:$I$161, 5, FALSE)</f>
        <v>113</v>
      </c>
      <c r="G36" s="33">
        <f ca="1">VLOOKUP($B36, Rekap_Tugas!$A$3:$I$161, 6, FALSE)</f>
        <v>107</v>
      </c>
      <c r="H36" s="34">
        <f t="shared" ca="1" si="14"/>
        <v>104.83333333333333</v>
      </c>
      <c r="I36" s="33">
        <f ca="1">VLOOKUP($B36, Rekap_Tugas!$A$3:$I$161, 7, FALSE)</f>
        <v>105</v>
      </c>
      <c r="J36" s="33">
        <f ca="1">VLOOKUP($B36, Rekap_Tugas!$A$3:$I$161, 8, FALSE)</f>
        <v>107</v>
      </c>
      <c r="K36" s="33">
        <f ca="1">VLOOKUP($B36, Rekap_Tugas!$A$3:$I$161, 9, FALSE)</f>
        <v>107</v>
      </c>
      <c r="L36" s="35">
        <f t="shared" ca="1" si="15"/>
        <v>106.33333333333333</v>
      </c>
      <c r="M36" s="36">
        <f>VLOOKUP(B36,UTS!$B$5:$M$163,12,FALSE)</f>
        <v>93.5</v>
      </c>
      <c r="N36" s="37">
        <f>VLOOKUP(B36,UAS!$B$5:$L$163,11,FALSE)</f>
        <v>93</v>
      </c>
      <c r="O36" s="38" t="s">
        <v>59</v>
      </c>
      <c r="P36" s="39">
        <v>85</v>
      </c>
      <c r="Q36" s="30">
        <v>27</v>
      </c>
      <c r="R36" s="36">
        <f t="shared" si="16"/>
        <v>100</v>
      </c>
      <c r="S36" s="35">
        <f t="shared" ca="1" si="17"/>
        <v>96.706249999999997</v>
      </c>
      <c r="T36" s="24" t="str">
        <f>VLOOKUP(B36,UAS!$B$5:$M$163,12,FALSE)</f>
        <v>A</v>
      </c>
      <c r="U36" s="40" t="str">
        <f t="shared" ca="1" si="18"/>
        <v>A</v>
      </c>
      <c r="V36" s="41" t="str">
        <f t="shared" si="19"/>
        <v>Margaretha Olivia Haryono</v>
      </c>
      <c r="W36" s="42">
        <f t="shared" si="20"/>
        <v>13521071</v>
      </c>
      <c r="X36" s="42">
        <f t="shared" si="21"/>
        <v>16</v>
      </c>
      <c r="Y36" s="12"/>
      <c r="Z36" s="2"/>
    </row>
    <row r="37" spans="1:26" ht="15" x14ac:dyDescent="0.25">
      <c r="A37" s="30">
        <v>17</v>
      </c>
      <c r="B37" s="30">
        <v>13521073</v>
      </c>
      <c r="C37" s="31" t="s">
        <v>206</v>
      </c>
      <c r="D37" s="32" t="s">
        <v>7</v>
      </c>
      <c r="E37" s="33">
        <f ca="1">VLOOKUP($B37, Rekap_Tugas!$A$3:$I$161, 4, FALSE)</f>
        <v>33</v>
      </c>
      <c r="F37" s="33">
        <f ca="1">VLOOKUP($B37, Rekap_Tugas!$A$3:$I$161, 5, FALSE)</f>
        <v>95</v>
      </c>
      <c r="G37" s="33">
        <f ca="1">VLOOKUP($B37, Rekap_Tugas!$A$3:$I$161, 6, FALSE)</f>
        <v>61</v>
      </c>
      <c r="H37" s="34">
        <f t="shared" ca="1" si="14"/>
        <v>63</v>
      </c>
      <c r="I37" s="33">
        <f ca="1">VLOOKUP($B37, Rekap_Tugas!$A$3:$I$161, 7, FALSE)</f>
        <v>97</v>
      </c>
      <c r="J37" s="33">
        <f ca="1">VLOOKUP($B37, Rekap_Tugas!$A$3:$I$161, 8, FALSE)</f>
        <v>101.5</v>
      </c>
      <c r="K37" s="33">
        <f ca="1">VLOOKUP($B37, Rekap_Tugas!$A$3:$I$161, 9, FALSE)</f>
        <v>95</v>
      </c>
      <c r="L37" s="35">
        <f t="shared" ca="1" si="15"/>
        <v>97.833333333333329</v>
      </c>
      <c r="M37" s="36">
        <f>VLOOKUP(B37,UTS!$B$5:$M$163,12,FALSE)</f>
        <v>31</v>
      </c>
      <c r="N37" s="37">
        <f>VLOOKUP(B37,UAS!$B$5:$L$163,11,FALSE)</f>
        <v>80.5</v>
      </c>
      <c r="O37" s="38" t="s">
        <v>18</v>
      </c>
      <c r="P37" s="39">
        <v>85</v>
      </c>
      <c r="Q37" s="30">
        <v>26</v>
      </c>
      <c r="R37" s="36">
        <f t="shared" si="16"/>
        <v>96.296296296296291</v>
      </c>
      <c r="S37" s="35">
        <f t="shared" ca="1" si="17"/>
        <v>65.626157407407405</v>
      </c>
      <c r="T37" s="24" t="str">
        <f>VLOOKUP(B37,UAS!$B$5:$M$163,12,FALSE)</f>
        <v>C</v>
      </c>
      <c r="U37" s="40" t="str">
        <f t="shared" ca="1" si="18"/>
        <v>C</v>
      </c>
      <c r="V37" s="41" t="str">
        <f t="shared" si="19"/>
        <v>Ezra M C M H</v>
      </c>
      <c r="W37" s="42">
        <f t="shared" si="20"/>
        <v>13521073</v>
      </c>
      <c r="X37" s="42">
        <f t="shared" si="21"/>
        <v>17</v>
      </c>
      <c r="Y37" s="12"/>
      <c r="Z37" s="2"/>
    </row>
    <row r="38" spans="1:26" ht="15" x14ac:dyDescent="0.25">
      <c r="A38" s="30">
        <v>18</v>
      </c>
      <c r="B38" s="30">
        <v>13521075</v>
      </c>
      <c r="C38" s="31" t="s">
        <v>174</v>
      </c>
      <c r="D38" s="32" t="s">
        <v>7</v>
      </c>
      <c r="E38" s="33">
        <f ca="1">VLOOKUP($B38, Rekap_Tugas!$A$3:$I$161, 4, FALSE)</f>
        <v>98</v>
      </c>
      <c r="F38" s="33">
        <f ca="1">VLOOKUP($B38, Rekap_Tugas!$A$3:$I$161, 5, FALSE)</f>
        <v>104.5</v>
      </c>
      <c r="G38" s="33">
        <f ca="1">VLOOKUP($B38, Rekap_Tugas!$A$3:$I$161, 6, FALSE)</f>
        <v>104</v>
      </c>
      <c r="H38" s="34">
        <f t="shared" ca="1" si="14"/>
        <v>102.16666666666667</v>
      </c>
      <c r="I38" s="33">
        <f ca="1">VLOOKUP($B38, Rekap_Tugas!$A$3:$I$161, 7, FALSE)</f>
        <v>100</v>
      </c>
      <c r="J38" s="33">
        <f ca="1">VLOOKUP($B38, Rekap_Tugas!$A$3:$I$161, 8, FALSE)</f>
        <v>109</v>
      </c>
      <c r="K38" s="33">
        <f ca="1">VLOOKUP($B38, Rekap_Tugas!$A$3:$I$161, 9, FALSE)</f>
        <v>103.5</v>
      </c>
      <c r="L38" s="35">
        <f t="shared" ca="1" si="15"/>
        <v>104.16666666666667</v>
      </c>
      <c r="M38" s="36">
        <f>VLOOKUP(B38,UTS!$B$5:$M$163,12,FALSE)</f>
        <v>73.5</v>
      </c>
      <c r="N38" s="37">
        <f>VLOOKUP(B38,UAS!$B$5:$L$163,11,FALSE)</f>
        <v>59.5</v>
      </c>
      <c r="O38" s="38" t="s">
        <v>18</v>
      </c>
      <c r="P38" s="39">
        <v>85</v>
      </c>
      <c r="Q38" s="30">
        <v>26</v>
      </c>
      <c r="R38" s="36">
        <f t="shared" si="16"/>
        <v>96.296296296296291</v>
      </c>
      <c r="S38" s="35">
        <f t="shared" ca="1" si="17"/>
        <v>79.169907407407408</v>
      </c>
      <c r="T38" s="24" t="str">
        <f>VLOOKUP(B38,UAS!$B$5:$M$163,12,FALSE)</f>
        <v xml:space="preserve">B </v>
      </c>
      <c r="U38" s="40" t="str">
        <f t="shared" ca="1" si="18"/>
        <v>AB</v>
      </c>
      <c r="V38" s="41" t="str">
        <f t="shared" si="19"/>
        <v>Muhammad Rifko Favian</v>
      </c>
      <c r="W38" s="42">
        <f t="shared" si="20"/>
        <v>13521075</v>
      </c>
      <c r="X38" s="42">
        <f t="shared" si="21"/>
        <v>18</v>
      </c>
      <c r="Y38" s="12"/>
      <c r="Z38" s="2"/>
    </row>
    <row r="39" spans="1:26" ht="15" x14ac:dyDescent="0.25">
      <c r="A39" s="30">
        <v>19</v>
      </c>
      <c r="B39" s="30">
        <v>13521077</v>
      </c>
      <c r="C39" s="31" t="s">
        <v>82</v>
      </c>
      <c r="D39" s="32" t="s">
        <v>7</v>
      </c>
      <c r="E39" s="33">
        <f ca="1">VLOOKUP($B39, Rekap_Tugas!$A$3:$I$161, 4, FALSE)</f>
        <v>95.5</v>
      </c>
      <c r="F39" s="33">
        <f ca="1">VLOOKUP($B39, Rekap_Tugas!$A$3:$I$161, 5, FALSE)</f>
        <v>115</v>
      </c>
      <c r="G39" s="33">
        <f ca="1">VLOOKUP($B39, Rekap_Tugas!$A$3:$I$161, 6, FALSE)</f>
        <v>110</v>
      </c>
      <c r="H39" s="34">
        <f t="shared" ca="1" si="14"/>
        <v>106.83333333333333</v>
      </c>
      <c r="I39" s="33">
        <f ca="1">VLOOKUP($B39, Rekap_Tugas!$A$3:$I$161, 7, FALSE)</f>
        <v>109</v>
      </c>
      <c r="J39" s="33">
        <f ca="1">VLOOKUP($B39, Rekap_Tugas!$A$3:$I$161, 8, FALSE)</f>
        <v>109</v>
      </c>
      <c r="K39" s="33">
        <f ca="1">VLOOKUP($B39, Rekap_Tugas!$A$3:$I$161, 9, FALSE)</f>
        <v>94</v>
      </c>
      <c r="L39" s="35">
        <f t="shared" ca="1" si="15"/>
        <v>104</v>
      </c>
      <c r="M39" s="36">
        <f>VLOOKUP(B39,UTS!$B$5:$M$163,12,FALSE)</f>
        <v>86.5</v>
      </c>
      <c r="N39" s="37">
        <f>VLOOKUP(B39,UAS!$B$5:$L$163,11,FALSE)</f>
        <v>86</v>
      </c>
      <c r="O39" s="38" t="s">
        <v>44</v>
      </c>
      <c r="P39" s="39">
        <v>90</v>
      </c>
      <c r="Q39" s="30">
        <v>27</v>
      </c>
      <c r="R39" s="36">
        <f t="shared" si="16"/>
        <v>100</v>
      </c>
      <c r="S39" s="35">
        <f t="shared" ca="1" si="17"/>
        <v>92.53125</v>
      </c>
      <c r="T39" s="24" t="str">
        <f>VLOOKUP(B39,UAS!$B$5:$M$163,12,FALSE)</f>
        <v>A</v>
      </c>
      <c r="U39" s="40" t="str">
        <f t="shared" ca="1" si="18"/>
        <v>A</v>
      </c>
      <c r="V39" s="41" t="str">
        <f t="shared" si="19"/>
        <v>Husnia Munzayana</v>
      </c>
      <c r="W39" s="42">
        <f t="shared" si="20"/>
        <v>13521077</v>
      </c>
      <c r="X39" s="42">
        <f t="shared" si="21"/>
        <v>19</v>
      </c>
      <c r="Y39" s="12"/>
      <c r="Z39" s="2"/>
    </row>
    <row r="40" spans="1:26" ht="15" x14ac:dyDescent="0.25">
      <c r="A40" s="30">
        <v>20</v>
      </c>
      <c r="B40" s="30">
        <v>13521079</v>
      </c>
      <c r="C40" s="31" t="s">
        <v>172</v>
      </c>
      <c r="D40" s="32" t="s">
        <v>7</v>
      </c>
      <c r="E40" s="33">
        <f ca="1">VLOOKUP($B40, Rekap_Tugas!$A$3:$I$161, 4, FALSE)</f>
        <v>89.5</v>
      </c>
      <c r="F40" s="33">
        <f ca="1">VLOOKUP($B40, Rekap_Tugas!$A$3:$I$161, 5, FALSE)</f>
        <v>113</v>
      </c>
      <c r="G40" s="33">
        <f ca="1">VLOOKUP($B40, Rekap_Tugas!$A$3:$I$161, 6, FALSE)</f>
        <v>105</v>
      </c>
      <c r="H40" s="34">
        <f t="shared" ca="1" si="14"/>
        <v>102.5</v>
      </c>
      <c r="I40" s="33">
        <f ca="1">VLOOKUP($B40, Rekap_Tugas!$A$3:$I$161, 7, FALSE)</f>
        <v>105</v>
      </c>
      <c r="J40" s="33">
        <f ca="1">VLOOKUP($B40, Rekap_Tugas!$A$3:$I$161, 8, FALSE)</f>
        <v>87.5</v>
      </c>
      <c r="K40" s="33">
        <f ca="1">VLOOKUP($B40, Rekap_Tugas!$A$3:$I$161, 9, FALSE)</f>
        <v>98</v>
      </c>
      <c r="L40" s="35">
        <f t="shared" ca="1" si="15"/>
        <v>96.833333333333329</v>
      </c>
      <c r="M40" s="36">
        <f>VLOOKUP(B40,UTS!$B$5:$M$163,12,FALSE)</f>
        <v>59</v>
      </c>
      <c r="N40" s="37">
        <f>VLOOKUP(B40,UAS!$B$5:$L$163,11,FALSE)</f>
        <v>80</v>
      </c>
      <c r="O40" s="38" t="s">
        <v>15</v>
      </c>
      <c r="P40" s="39">
        <v>75</v>
      </c>
      <c r="Q40" s="30">
        <v>27</v>
      </c>
      <c r="R40" s="36">
        <f t="shared" si="16"/>
        <v>100</v>
      </c>
      <c r="S40" s="35">
        <f t="shared" ca="1" si="17"/>
        <v>79.587500000000006</v>
      </c>
      <c r="T40" s="24" t="str">
        <f>VLOOKUP(B40,UAS!$B$5:$M$163,12,FALSE)</f>
        <v>AB</v>
      </c>
      <c r="U40" s="40" t="str">
        <f t="shared" ca="1" si="18"/>
        <v>AB</v>
      </c>
      <c r="V40" s="41" t="str">
        <f t="shared" si="19"/>
        <v>Hobert Anthony Jonatan</v>
      </c>
      <c r="W40" s="42">
        <f t="shared" si="20"/>
        <v>13521079</v>
      </c>
      <c r="X40" s="42">
        <f t="shared" si="21"/>
        <v>20</v>
      </c>
      <c r="Y40" s="12"/>
      <c r="Z40" s="2"/>
    </row>
    <row r="41" spans="1:26" ht="15" x14ac:dyDescent="0.25">
      <c r="A41" s="30">
        <v>21</v>
      </c>
      <c r="B41" s="30">
        <v>13521081</v>
      </c>
      <c r="C41" s="31" t="s">
        <v>88</v>
      </c>
      <c r="D41" s="32" t="s">
        <v>7</v>
      </c>
      <c r="E41" s="33">
        <f ca="1">VLOOKUP($B41, Rekap_Tugas!$A$3:$I$161, 4, FALSE)</f>
        <v>89.5</v>
      </c>
      <c r="F41" s="33">
        <f ca="1">VLOOKUP($B41, Rekap_Tugas!$A$3:$I$161, 5, FALSE)</f>
        <v>114</v>
      </c>
      <c r="G41" s="33">
        <f ca="1">VLOOKUP($B41, Rekap_Tugas!$A$3:$I$161, 6, FALSE)</f>
        <v>105</v>
      </c>
      <c r="H41" s="34">
        <f t="shared" ca="1" si="14"/>
        <v>102.83333333333333</v>
      </c>
      <c r="I41" s="33">
        <f ca="1">VLOOKUP($B41, Rekap_Tugas!$A$3:$I$161, 7, FALSE)</f>
        <v>109</v>
      </c>
      <c r="J41" s="33">
        <f ca="1">VLOOKUP($B41, Rekap_Tugas!$A$3:$I$161, 8, FALSE)</f>
        <v>109</v>
      </c>
      <c r="K41" s="33">
        <f ca="1">VLOOKUP($B41, Rekap_Tugas!$A$3:$I$161, 9, FALSE)</f>
        <v>108</v>
      </c>
      <c r="L41" s="35">
        <f t="shared" ca="1" si="15"/>
        <v>108.66666666666667</v>
      </c>
      <c r="M41" s="36">
        <f>VLOOKUP(B41,UTS!$B$5:$M$163,12,FALSE)</f>
        <v>87</v>
      </c>
      <c r="N41" s="37">
        <f>VLOOKUP(B41,UAS!$B$5:$L$163,11,FALSE)</f>
        <v>83.5</v>
      </c>
      <c r="O41" s="38" t="s">
        <v>18</v>
      </c>
      <c r="P41" s="39">
        <v>85</v>
      </c>
      <c r="Q41" s="30">
        <v>27</v>
      </c>
      <c r="R41" s="36">
        <f t="shared" si="16"/>
        <v>100</v>
      </c>
      <c r="S41" s="35">
        <f t="shared" ca="1" si="17"/>
        <v>91.756249999999994</v>
      </c>
      <c r="T41" s="24" t="str">
        <f>VLOOKUP(B41,UAS!$B$5:$M$163,12,FALSE)</f>
        <v>A</v>
      </c>
      <c r="U41" s="40" t="str">
        <f t="shared" ca="1" si="18"/>
        <v>A</v>
      </c>
      <c r="V41" s="41" t="str">
        <f t="shared" si="19"/>
        <v>Bagas Aryo Seto</v>
      </c>
      <c r="W41" s="42">
        <f t="shared" si="20"/>
        <v>13521081</v>
      </c>
      <c r="X41" s="42">
        <f t="shared" si="21"/>
        <v>21</v>
      </c>
      <c r="Y41" s="12"/>
      <c r="Z41" s="2"/>
    </row>
    <row r="42" spans="1:26" ht="15" x14ac:dyDescent="0.25">
      <c r="A42" s="30">
        <v>22</v>
      </c>
      <c r="B42" s="30">
        <v>13521083</v>
      </c>
      <c r="C42" s="31" t="s">
        <v>168</v>
      </c>
      <c r="D42" s="32" t="s">
        <v>7</v>
      </c>
      <c r="E42" s="45">
        <v>95.5</v>
      </c>
      <c r="F42" s="33">
        <f ca="1">VLOOKUP($B42, Rekap_Tugas!$A$3:$I$161, 5, FALSE)</f>
        <v>113</v>
      </c>
      <c r="G42" s="33">
        <f ca="1">VLOOKUP($B42, Rekap_Tugas!$A$3:$I$161, 6, FALSE)</f>
        <v>100</v>
      </c>
      <c r="H42" s="34">
        <f t="shared" ca="1" si="14"/>
        <v>102.83333333333333</v>
      </c>
      <c r="I42" s="33">
        <f ca="1">VLOOKUP($B42, Rekap_Tugas!$A$3:$I$161, 7, FALSE)</f>
        <v>100</v>
      </c>
      <c r="J42" s="33">
        <f ca="1">VLOOKUP($B42, Rekap_Tugas!$A$3:$I$161, 8, FALSE)</f>
        <v>111</v>
      </c>
      <c r="K42" s="33">
        <f ca="1">VLOOKUP($B42, Rekap_Tugas!$A$3:$I$161, 9, FALSE)</f>
        <v>95</v>
      </c>
      <c r="L42" s="35">
        <f t="shared" ca="1" si="15"/>
        <v>102</v>
      </c>
      <c r="M42" s="36">
        <f>VLOOKUP(B42,UTS!$B$5:$M$163,12,FALSE)</f>
        <v>79</v>
      </c>
      <c r="N42" s="37">
        <f>VLOOKUP(B42,UAS!$B$5:$L$163,11,FALSE)</f>
        <v>61</v>
      </c>
      <c r="O42" s="38" t="s">
        <v>17</v>
      </c>
      <c r="P42" s="39">
        <v>80</v>
      </c>
      <c r="Q42" s="30">
        <v>23</v>
      </c>
      <c r="R42" s="36">
        <f t="shared" si="16"/>
        <v>85.18518518518519</v>
      </c>
      <c r="S42" s="35">
        <f t="shared" ca="1" si="17"/>
        <v>80.604629629629628</v>
      </c>
      <c r="T42" s="24">
        <f>VLOOKUP(B42,UAS!$B$5:$M$163,12,FALSE)</f>
        <v>0</v>
      </c>
      <c r="U42" s="40" t="str">
        <f t="shared" ca="1" si="18"/>
        <v>AB</v>
      </c>
      <c r="V42" s="41" t="str">
        <f t="shared" si="19"/>
        <v>Moch. Sofyan Firdaus</v>
      </c>
      <c r="W42" s="42">
        <f t="shared" si="20"/>
        <v>13521083</v>
      </c>
      <c r="X42" s="42">
        <f t="shared" si="21"/>
        <v>22</v>
      </c>
      <c r="Y42" s="12"/>
      <c r="Z42" s="2"/>
    </row>
    <row r="43" spans="1:26" ht="15" x14ac:dyDescent="0.25">
      <c r="A43" s="30">
        <v>23</v>
      </c>
      <c r="B43" s="30">
        <v>13521085</v>
      </c>
      <c r="C43" s="31" t="s">
        <v>81</v>
      </c>
      <c r="D43" s="32" t="s">
        <v>7</v>
      </c>
      <c r="E43" s="45">
        <v>95</v>
      </c>
      <c r="F43" s="33">
        <f ca="1">VLOOKUP($B43, Rekap_Tugas!$A$3:$I$161, 5, FALSE)</f>
        <v>115</v>
      </c>
      <c r="G43" s="33">
        <f ca="1">VLOOKUP($B43, Rekap_Tugas!$A$3:$I$161, 6, FALSE)</f>
        <v>110</v>
      </c>
      <c r="H43" s="34">
        <f t="shared" ca="1" si="14"/>
        <v>106.66666666666667</v>
      </c>
      <c r="I43" s="33">
        <f ca="1">VLOOKUP($B43, Rekap_Tugas!$A$3:$I$161, 7, FALSE)</f>
        <v>110</v>
      </c>
      <c r="J43" s="33">
        <f ca="1">VLOOKUP($B43, Rekap_Tugas!$A$3:$I$161, 8, FALSE)</f>
        <v>115</v>
      </c>
      <c r="K43" s="33">
        <f ca="1">VLOOKUP($B43, Rekap_Tugas!$A$3:$I$161, 9, FALSE)</f>
        <v>95</v>
      </c>
      <c r="L43" s="35">
        <f t="shared" ca="1" si="15"/>
        <v>106.66666666666667</v>
      </c>
      <c r="M43" s="36">
        <f>VLOOKUP(B43,UTS!$B$5:$M$163,12,FALSE)</f>
        <v>79</v>
      </c>
      <c r="N43" s="37">
        <f>VLOOKUP(B43,UAS!$B$5:$L$163,11,FALSE)</f>
        <v>93.5</v>
      </c>
      <c r="O43" s="38" t="s">
        <v>18</v>
      </c>
      <c r="P43" s="39">
        <v>85</v>
      </c>
      <c r="Q43" s="30">
        <v>27</v>
      </c>
      <c r="R43" s="36">
        <f t="shared" si="16"/>
        <v>100</v>
      </c>
      <c r="S43" s="35">
        <f t="shared" ca="1" si="17"/>
        <v>92.65625</v>
      </c>
      <c r="T43" s="24" t="str">
        <f>VLOOKUP(B43,UAS!$B$5:$M$163,12,FALSE)</f>
        <v>A</v>
      </c>
      <c r="U43" s="40" t="str">
        <f t="shared" ca="1" si="18"/>
        <v>A</v>
      </c>
      <c r="V43" s="41" t="str">
        <f t="shared" si="19"/>
        <v>Addin Munawwar Yusuf</v>
      </c>
      <c r="W43" s="42">
        <f t="shared" si="20"/>
        <v>13521085</v>
      </c>
      <c r="X43" s="42">
        <f t="shared" si="21"/>
        <v>23</v>
      </c>
      <c r="Y43" s="12"/>
      <c r="Z43" s="2"/>
    </row>
    <row r="44" spans="1:26" ht="15" x14ac:dyDescent="0.25">
      <c r="A44" s="30">
        <v>24</v>
      </c>
      <c r="B44" s="30">
        <v>13521087</v>
      </c>
      <c r="C44" s="31" t="s">
        <v>148</v>
      </c>
      <c r="D44" s="32" t="s">
        <v>7</v>
      </c>
      <c r="E44" s="33">
        <f ca="1">VLOOKUP($B44, Rekap_Tugas!$A$3:$I$161, 4, FALSE)</f>
        <v>92</v>
      </c>
      <c r="F44" s="33">
        <f ca="1">VLOOKUP($B44, Rekap_Tugas!$A$3:$I$161, 5, FALSE)</f>
        <v>99</v>
      </c>
      <c r="G44" s="33">
        <f ca="1">VLOOKUP($B44, Rekap_Tugas!$A$3:$I$161, 6, FALSE)</f>
        <v>100</v>
      </c>
      <c r="H44" s="34">
        <f t="shared" ca="1" si="14"/>
        <v>97</v>
      </c>
      <c r="I44" s="33">
        <f ca="1">VLOOKUP($B44, Rekap_Tugas!$A$3:$I$161, 7, FALSE)</f>
        <v>96</v>
      </c>
      <c r="J44" s="33">
        <f ca="1">VLOOKUP($B44, Rekap_Tugas!$A$3:$I$161, 8, FALSE)</f>
        <v>111</v>
      </c>
      <c r="K44" s="33">
        <f ca="1">VLOOKUP($B44, Rekap_Tugas!$A$3:$I$161, 9, FALSE)</f>
        <v>102</v>
      </c>
      <c r="L44" s="35">
        <f t="shared" ca="1" si="15"/>
        <v>103</v>
      </c>
      <c r="M44" s="36">
        <f>VLOOKUP(B44,UTS!$B$5:$M$163,12,FALSE)</f>
        <v>69.5</v>
      </c>
      <c r="N44" s="37">
        <f>VLOOKUP(B44,UAS!$B$5:$L$163,11,FALSE)</f>
        <v>80</v>
      </c>
      <c r="O44" s="38" t="s">
        <v>44</v>
      </c>
      <c r="P44" s="39">
        <v>90</v>
      </c>
      <c r="Q44" s="30">
        <v>26</v>
      </c>
      <c r="R44" s="36">
        <f t="shared" si="16"/>
        <v>96.296296296296291</v>
      </c>
      <c r="S44" s="35">
        <f t="shared" ca="1" si="17"/>
        <v>83.626157407407405</v>
      </c>
      <c r="T44" s="24" t="str">
        <f>VLOOKUP(B44,UAS!$B$5:$M$163,12,FALSE)</f>
        <v>AB</v>
      </c>
      <c r="U44" s="40" t="str">
        <f t="shared" ca="1" si="18"/>
        <v>AB</v>
      </c>
      <c r="V44" s="41" t="str">
        <f t="shared" si="19"/>
        <v>Razzan Daksana Yoni</v>
      </c>
      <c r="W44" s="42">
        <f t="shared" si="20"/>
        <v>13521087</v>
      </c>
      <c r="X44" s="42">
        <f t="shared" si="21"/>
        <v>24</v>
      </c>
      <c r="Y44" s="12"/>
      <c r="Z44" s="2"/>
    </row>
    <row r="45" spans="1:26" ht="15" x14ac:dyDescent="0.25">
      <c r="A45" s="30">
        <v>25</v>
      </c>
      <c r="B45" s="30">
        <v>13521089</v>
      </c>
      <c r="C45" s="31" t="s">
        <v>66</v>
      </c>
      <c r="D45" s="32" t="s">
        <v>7</v>
      </c>
      <c r="E45" s="45">
        <v>94.5</v>
      </c>
      <c r="F45" s="33">
        <f ca="1">VLOOKUP($B45, Rekap_Tugas!$A$3:$I$161, 5, FALSE)</f>
        <v>115</v>
      </c>
      <c r="G45" s="33">
        <f ca="1">VLOOKUP($B45, Rekap_Tugas!$A$3:$I$161, 6, FALSE)</f>
        <v>108</v>
      </c>
      <c r="H45" s="34">
        <f t="shared" ca="1" si="14"/>
        <v>105.83333333333333</v>
      </c>
      <c r="I45" s="33">
        <f ca="1">VLOOKUP($B45, Rekap_Tugas!$A$3:$I$161, 7, FALSE)</f>
        <v>107</v>
      </c>
      <c r="J45" s="33">
        <f ca="1">VLOOKUP($B45, Rekap_Tugas!$A$3:$I$161, 8, FALSE)</f>
        <v>108</v>
      </c>
      <c r="K45" s="33">
        <f ca="1">VLOOKUP($B45, Rekap_Tugas!$A$3:$I$161, 9, FALSE)</f>
        <v>108</v>
      </c>
      <c r="L45" s="35">
        <f t="shared" ca="1" si="15"/>
        <v>107.66666666666667</v>
      </c>
      <c r="M45" s="36">
        <f>VLOOKUP(B45,UTS!$B$5:$M$163,12,FALSE)</f>
        <v>88.5</v>
      </c>
      <c r="N45" s="37">
        <f>VLOOKUP(B45,UAS!$B$5:$L$163,11,FALSE)</f>
        <v>90.5</v>
      </c>
      <c r="O45" s="38" t="s">
        <v>17</v>
      </c>
      <c r="P45" s="39">
        <v>80</v>
      </c>
      <c r="Q45" s="30">
        <v>27</v>
      </c>
      <c r="R45" s="36">
        <f t="shared" si="16"/>
        <v>100</v>
      </c>
      <c r="S45" s="35">
        <f t="shared" ca="1" si="17"/>
        <v>94.462500000000006</v>
      </c>
      <c r="T45" s="24" t="str">
        <f>VLOOKUP(B45,UAS!$B$5:$M$163,12,FALSE)</f>
        <v>A</v>
      </c>
      <c r="U45" s="40" t="str">
        <f t="shared" ca="1" si="18"/>
        <v>A</v>
      </c>
      <c r="V45" s="41" t="str">
        <f t="shared" si="19"/>
        <v>Kenneth Ezekiel Suprantoni</v>
      </c>
      <c r="W45" s="42">
        <f t="shared" si="20"/>
        <v>13521089</v>
      </c>
      <c r="X45" s="42">
        <f t="shared" si="21"/>
        <v>25</v>
      </c>
      <c r="Y45" s="12"/>
      <c r="Z45" s="2"/>
    </row>
    <row r="46" spans="1:26" ht="15" x14ac:dyDescent="0.25">
      <c r="A46" s="30">
        <v>26</v>
      </c>
      <c r="B46" s="30">
        <v>13521091</v>
      </c>
      <c r="C46" s="31" t="s">
        <v>186</v>
      </c>
      <c r="D46" s="32" t="s">
        <v>7</v>
      </c>
      <c r="E46" s="45">
        <v>95.5</v>
      </c>
      <c r="F46" s="45">
        <v>118.5</v>
      </c>
      <c r="G46" s="33">
        <f ca="1">VLOOKUP($B46, Rekap_Tugas!$A$3:$I$161, 6, FALSE)</f>
        <v>24.5</v>
      </c>
      <c r="H46" s="34">
        <f t="shared" ca="1" si="14"/>
        <v>79.5</v>
      </c>
      <c r="I46" s="33">
        <f ca="1">VLOOKUP($B46, Rekap_Tugas!$A$3:$I$161, 7, FALSE)</f>
        <v>105</v>
      </c>
      <c r="J46" s="33">
        <f ca="1">VLOOKUP($B46, Rekap_Tugas!$A$3:$I$161, 8, FALSE)</f>
        <v>103</v>
      </c>
      <c r="K46" s="33">
        <f ca="1">VLOOKUP($B46, Rekap_Tugas!$A$3:$I$161, 9, FALSE)</f>
        <v>101.5</v>
      </c>
      <c r="L46" s="35">
        <f t="shared" ca="1" si="15"/>
        <v>103.16666666666667</v>
      </c>
      <c r="M46" s="36">
        <f>VLOOKUP(B46,UTS!$B$5:$M$163,12,FALSE)</f>
        <v>68.5</v>
      </c>
      <c r="N46" s="37">
        <f>VLOOKUP(B46,UAS!$B$5:$L$163,11,FALSE)</f>
        <v>67</v>
      </c>
      <c r="O46" s="38" t="s">
        <v>133</v>
      </c>
      <c r="P46" s="39">
        <v>85</v>
      </c>
      <c r="Q46" s="30">
        <v>26</v>
      </c>
      <c r="R46" s="36">
        <f t="shared" si="16"/>
        <v>96.296296296296291</v>
      </c>
      <c r="S46" s="35">
        <f t="shared" ca="1" si="17"/>
        <v>76.40115740740741</v>
      </c>
      <c r="T46" s="24" t="str">
        <f>VLOOKUP(B46,UAS!$B$5:$M$163,12,FALSE)</f>
        <v>A</v>
      </c>
      <c r="U46" s="40" t="str">
        <f t="shared" ca="1" si="18"/>
        <v>B</v>
      </c>
      <c r="V46" s="41" t="str">
        <f t="shared" si="19"/>
        <v>Fakih Anugerah Pratama</v>
      </c>
      <c r="W46" s="42">
        <f t="shared" si="20"/>
        <v>13521091</v>
      </c>
      <c r="X46" s="42">
        <f t="shared" si="21"/>
        <v>26</v>
      </c>
      <c r="Y46" s="12"/>
      <c r="Z46" s="2"/>
    </row>
    <row r="47" spans="1:26" ht="15" x14ac:dyDescent="0.25">
      <c r="A47" s="30">
        <v>27</v>
      </c>
      <c r="B47" s="30">
        <v>13521093</v>
      </c>
      <c r="C47" s="31" t="s">
        <v>114</v>
      </c>
      <c r="D47" s="32" t="s">
        <v>7</v>
      </c>
      <c r="E47" s="33">
        <f ca="1">VLOOKUP($B47, Rekap_Tugas!$A$3:$I$161, 4, FALSE)</f>
        <v>88</v>
      </c>
      <c r="F47" s="33">
        <f ca="1">VLOOKUP($B47, Rekap_Tugas!$A$3:$I$161, 5, FALSE)</f>
        <v>115</v>
      </c>
      <c r="G47" s="33">
        <f ca="1">VLOOKUP($B47, Rekap_Tugas!$A$3:$I$161, 6, FALSE)</f>
        <v>110</v>
      </c>
      <c r="H47" s="34">
        <f t="shared" ca="1" si="14"/>
        <v>104.33333333333333</v>
      </c>
      <c r="I47" s="33">
        <f ca="1">VLOOKUP($B47, Rekap_Tugas!$A$3:$I$161, 7, FALSE)</f>
        <v>105</v>
      </c>
      <c r="J47" s="33">
        <f ca="1">VLOOKUP($B47, Rekap_Tugas!$A$3:$I$161, 8, FALSE)</f>
        <v>115</v>
      </c>
      <c r="K47" s="33">
        <f ca="1">VLOOKUP($B47, Rekap_Tugas!$A$3:$I$161, 9, FALSE)</f>
        <v>110</v>
      </c>
      <c r="L47" s="35">
        <f t="shared" ca="1" si="15"/>
        <v>110</v>
      </c>
      <c r="M47" s="36">
        <f>VLOOKUP(B47,UTS!$B$5:$M$163,12,FALSE)</f>
        <v>87</v>
      </c>
      <c r="N47" s="37">
        <f>VLOOKUP(B47,UAS!$B$5:$L$163,11,FALSE)</f>
        <v>70</v>
      </c>
      <c r="O47" s="38" t="s">
        <v>44</v>
      </c>
      <c r="P47" s="39">
        <v>90</v>
      </c>
      <c r="Q47" s="30">
        <v>26</v>
      </c>
      <c r="R47" s="36">
        <f t="shared" si="16"/>
        <v>96.296296296296291</v>
      </c>
      <c r="S47" s="35">
        <f t="shared" ca="1" si="17"/>
        <v>88.11990740740741</v>
      </c>
      <c r="T47" s="24" t="str">
        <f>VLOOKUP(B47,UAS!$B$5:$M$163,12,FALSE)</f>
        <v>A</v>
      </c>
      <c r="U47" s="40" t="str">
        <f t="shared" ca="1" si="18"/>
        <v>A</v>
      </c>
      <c r="V47" s="41" t="str">
        <f t="shared" si="19"/>
        <v>Akbar Maulana Ridho</v>
      </c>
      <c r="W47" s="42">
        <f t="shared" si="20"/>
        <v>13521093</v>
      </c>
      <c r="X47" s="42">
        <f t="shared" si="21"/>
        <v>27</v>
      </c>
      <c r="Y47" s="12"/>
      <c r="Z47" s="2"/>
    </row>
    <row r="48" spans="1:26" ht="15" x14ac:dyDescent="0.25">
      <c r="A48" s="30">
        <v>28</v>
      </c>
      <c r="B48" s="30">
        <v>13521095</v>
      </c>
      <c r="C48" s="31" t="s">
        <v>105</v>
      </c>
      <c r="D48" s="32" t="s">
        <v>7</v>
      </c>
      <c r="E48" s="33">
        <f ca="1">VLOOKUP($B48, Rekap_Tugas!$A$3:$I$161, 4, FALSE)</f>
        <v>95</v>
      </c>
      <c r="F48" s="33">
        <f ca="1">VLOOKUP($B48, Rekap_Tugas!$A$3:$I$161, 5, FALSE)</f>
        <v>99</v>
      </c>
      <c r="G48" s="33">
        <f ca="1">VLOOKUP($B48, Rekap_Tugas!$A$3:$I$161, 6, FALSE)</f>
        <v>105</v>
      </c>
      <c r="H48" s="34">
        <f t="shared" ca="1" si="14"/>
        <v>99.666666666666671</v>
      </c>
      <c r="I48" s="33">
        <f ca="1">VLOOKUP($B48, Rekap_Tugas!$A$3:$I$161, 7, FALSE)</f>
        <v>106</v>
      </c>
      <c r="J48" s="33">
        <f ca="1">VLOOKUP($B48, Rekap_Tugas!$A$3:$I$161, 8, FALSE)</f>
        <v>111</v>
      </c>
      <c r="K48" s="33">
        <f ca="1">VLOOKUP($B48, Rekap_Tugas!$A$3:$I$161, 9, FALSE)</f>
        <v>108</v>
      </c>
      <c r="L48" s="35">
        <f t="shared" ca="1" si="15"/>
        <v>108.33333333333333</v>
      </c>
      <c r="M48" s="36">
        <f>VLOOKUP(B48,UTS!$B$5:$M$163,12,FALSE)</f>
        <v>88.5</v>
      </c>
      <c r="N48" s="37">
        <f>VLOOKUP(B48,UAS!$B$5:$L$163,11,FALSE)</f>
        <v>76</v>
      </c>
      <c r="O48" s="38" t="s">
        <v>49</v>
      </c>
      <c r="P48" s="39">
        <v>90</v>
      </c>
      <c r="Q48" s="30">
        <v>26</v>
      </c>
      <c r="R48" s="36">
        <f t="shared" si="16"/>
        <v>96.296296296296291</v>
      </c>
      <c r="S48" s="35">
        <f t="shared" ca="1" si="17"/>
        <v>89.513657407407408</v>
      </c>
      <c r="T48" s="24" t="str">
        <f>VLOOKUP(B48,UAS!$B$5:$M$163,12,FALSE)</f>
        <v>AB</v>
      </c>
      <c r="U48" s="40" t="str">
        <f t="shared" ca="1" si="18"/>
        <v>A</v>
      </c>
      <c r="V48" s="41" t="str">
        <f t="shared" si="19"/>
        <v>Muhamad Aji Wibisono</v>
      </c>
      <c r="W48" s="42">
        <f t="shared" si="20"/>
        <v>13521095</v>
      </c>
      <c r="X48" s="42">
        <f t="shared" si="21"/>
        <v>28</v>
      </c>
      <c r="Y48" s="12"/>
      <c r="Z48" s="2"/>
    </row>
    <row r="49" spans="1:26" ht="15" x14ac:dyDescent="0.25">
      <c r="A49" s="30">
        <v>29</v>
      </c>
      <c r="B49" s="30">
        <v>13521097</v>
      </c>
      <c r="C49" s="31" t="s">
        <v>131</v>
      </c>
      <c r="D49" s="32" t="s">
        <v>7</v>
      </c>
      <c r="E49" s="33">
        <f ca="1">VLOOKUP($B49, Rekap_Tugas!$A$3:$I$161, 4, FALSE)</f>
        <v>80</v>
      </c>
      <c r="F49" s="33">
        <f ca="1">VLOOKUP($B49, Rekap_Tugas!$A$3:$I$161, 5, FALSE)</f>
        <v>95.5</v>
      </c>
      <c r="G49" s="33">
        <f ca="1">VLOOKUP($B49, Rekap_Tugas!$A$3:$I$161, 6, FALSE)</f>
        <v>102</v>
      </c>
      <c r="H49" s="34">
        <f t="shared" ca="1" si="14"/>
        <v>92.5</v>
      </c>
      <c r="I49" s="33">
        <f ca="1">VLOOKUP($B49, Rekap_Tugas!$A$3:$I$161, 7, FALSE)</f>
        <v>100</v>
      </c>
      <c r="J49" s="33">
        <f ca="1">VLOOKUP($B49, Rekap_Tugas!$A$3:$I$161, 8, FALSE)</f>
        <v>108</v>
      </c>
      <c r="K49" s="33">
        <f ca="1">VLOOKUP($B49, Rekap_Tugas!$A$3:$I$161, 9, FALSE)</f>
        <v>98</v>
      </c>
      <c r="L49" s="35">
        <f t="shared" ca="1" si="15"/>
        <v>102</v>
      </c>
      <c r="M49" s="36">
        <f>VLOOKUP(B49,UTS!$B$5:$M$163,12,FALSE)</f>
        <v>87</v>
      </c>
      <c r="N49" s="37">
        <f>VLOOKUP(B49,UAS!$B$5:$L$163,11,FALSE)</f>
        <v>75</v>
      </c>
      <c r="O49" s="38" t="s">
        <v>18</v>
      </c>
      <c r="P49" s="39">
        <v>85</v>
      </c>
      <c r="Q49" s="30">
        <v>26</v>
      </c>
      <c r="R49" s="36">
        <f t="shared" si="16"/>
        <v>96.296296296296291</v>
      </c>
      <c r="S49" s="35">
        <f t="shared" ca="1" si="17"/>
        <v>86.457407407407402</v>
      </c>
      <c r="T49" s="24" t="str">
        <f>VLOOKUP(B49,UAS!$B$5:$M$163,12,FALSE)</f>
        <v>AB</v>
      </c>
      <c r="U49" s="40" t="str">
        <f t="shared" ca="1" si="18"/>
        <v>A</v>
      </c>
      <c r="V49" s="41" t="str">
        <f t="shared" si="19"/>
        <v>Shidqi Indy Izhari</v>
      </c>
      <c r="W49" s="42">
        <f t="shared" si="20"/>
        <v>13521097</v>
      </c>
      <c r="X49" s="42">
        <f t="shared" si="21"/>
        <v>29</v>
      </c>
      <c r="Y49" s="12"/>
      <c r="Z49" s="2"/>
    </row>
    <row r="50" spans="1:26" ht="15" x14ac:dyDescent="0.25">
      <c r="A50" s="30">
        <v>30</v>
      </c>
      <c r="B50" s="30">
        <v>13521099</v>
      </c>
      <c r="C50" s="31" t="s">
        <v>128</v>
      </c>
      <c r="D50" s="32" t="s">
        <v>7</v>
      </c>
      <c r="E50" s="33">
        <f ca="1">VLOOKUP($B50, Rekap_Tugas!$A$3:$I$161, 4, FALSE)</f>
        <v>90</v>
      </c>
      <c r="F50" s="33">
        <f ca="1">VLOOKUP($B50, Rekap_Tugas!$A$3:$I$161, 5, FALSE)</f>
        <v>115</v>
      </c>
      <c r="G50" s="33">
        <f ca="1">VLOOKUP($B50, Rekap_Tugas!$A$3:$I$161, 6, FALSE)</f>
        <v>107</v>
      </c>
      <c r="H50" s="34">
        <f t="shared" ca="1" si="14"/>
        <v>104</v>
      </c>
      <c r="I50" s="33">
        <f ca="1">VLOOKUP($B50, Rekap_Tugas!$A$3:$I$161, 7, FALSE)</f>
        <v>98</v>
      </c>
      <c r="J50" s="33">
        <f ca="1">VLOOKUP($B50, Rekap_Tugas!$A$3:$I$161, 8, FALSE)</f>
        <v>108</v>
      </c>
      <c r="K50" s="33">
        <f ca="1">VLOOKUP($B50, Rekap_Tugas!$A$3:$I$161, 9, FALSE)</f>
        <v>103</v>
      </c>
      <c r="L50" s="35">
        <f t="shared" ca="1" si="15"/>
        <v>103</v>
      </c>
      <c r="M50" s="36">
        <f>VLOOKUP(B50,UTS!$B$5:$M$163,12,FALSE)</f>
        <v>72.5</v>
      </c>
      <c r="N50" s="37">
        <f>VLOOKUP(B50,UAS!$B$5:$L$163,11,FALSE)</f>
        <v>85.5</v>
      </c>
      <c r="O50" s="38" t="s">
        <v>53</v>
      </c>
      <c r="P50" s="39">
        <v>85</v>
      </c>
      <c r="Q50" s="30">
        <v>24</v>
      </c>
      <c r="R50" s="36">
        <f t="shared" si="16"/>
        <v>88.888888888888886</v>
      </c>
      <c r="S50" s="35">
        <f t="shared" ca="1" si="17"/>
        <v>86.897222222222226</v>
      </c>
      <c r="T50" s="24" t="str">
        <f>VLOOKUP(B50,UAS!$B$5:$M$163,12,FALSE)</f>
        <v>AB</v>
      </c>
      <c r="U50" s="40" t="str">
        <f t="shared" ca="1" si="18"/>
        <v>A</v>
      </c>
      <c r="V50" s="41" t="str">
        <f t="shared" si="19"/>
        <v>Vieri Fajar Firdaus</v>
      </c>
      <c r="W50" s="42">
        <f t="shared" si="20"/>
        <v>13521099</v>
      </c>
      <c r="X50" s="42">
        <f t="shared" si="21"/>
        <v>30</v>
      </c>
      <c r="Y50" s="12"/>
      <c r="Z50" s="2"/>
    </row>
    <row r="51" spans="1:26" ht="15" x14ac:dyDescent="0.25">
      <c r="A51" s="30">
        <v>31</v>
      </c>
      <c r="B51" s="30">
        <v>13521101</v>
      </c>
      <c r="C51" s="31" t="s">
        <v>48</v>
      </c>
      <c r="D51" s="32" t="s">
        <v>7</v>
      </c>
      <c r="E51" s="33">
        <f ca="1">VLOOKUP($B51, Rekap_Tugas!$A$3:$I$161, 4, FALSE)</f>
        <v>94.5</v>
      </c>
      <c r="F51" s="33">
        <f ca="1">VLOOKUP($B51, Rekap_Tugas!$A$3:$I$161, 5, FALSE)</f>
        <v>115</v>
      </c>
      <c r="G51" s="33">
        <f ca="1">VLOOKUP($B51, Rekap_Tugas!$A$3:$I$161, 6, FALSE)</f>
        <v>110</v>
      </c>
      <c r="H51" s="34">
        <f t="shared" ca="1" si="14"/>
        <v>106.5</v>
      </c>
      <c r="I51" s="33">
        <f ca="1">VLOOKUP($B51, Rekap_Tugas!$A$3:$I$161, 7, FALSE)</f>
        <v>107</v>
      </c>
      <c r="J51" s="33">
        <f ca="1">VLOOKUP($B51, Rekap_Tugas!$A$3:$I$161, 8, FALSE)</f>
        <v>111</v>
      </c>
      <c r="K51" s="33">
        <f ca="1">VLOOKUP($B51, Rekap_Tugas!$A$3:$I$161, 9, FALSE)</f>
        <v>110</v>
      </c>
      <c r="L51" s="35">
        <f t="shared" ca="1" si="15"/>
        <v>109.33333333333333</v>
      </c>
      <c r="M51" s="36">
        <f>VLOOKUP(B51,UTS!$B$5:$M$163,12,FALSE)</f>
        <v>95</v>
      </c>
      <c r="N51" s="37">
        <f>VLOOKUP(B51,UAS!$B$5:$L$163,11,FALSE)</f>
        <v>94.5</v>
      </c>
      <c r="O51" s="38" t="s">
        <v>49</v>
      </c>
      <c r="P51" s="39">
        <v>90</v>
      </c>
      <c r="Q51" s="30">
        <v>27</v>
      </c>
      <c r="R51" s="36">
        <f t="shared" si="16"/>
        <v>100</v>
      </c>
      <c r="S51" s="35">
        <f t="shared" ca="1" si="17"/>
        <v>98.59375</v>
      </c>
      <c r="T51" s="24">
        <f>VLOOKUP(B51,UAS!$B$5:$M$163,12,FALSE)</f>
        <v>0</v>
      </c>
      <c r="U51" s="40" t="str">
        <f t="shared" ca="1" si="18"/>
        <v>A</v>
      </c>
      <c r="V51" s="41" t="str">
        <f t="shared" si="19"/>
        <v>Arsa Izdihar Islam</v>
      </c>
      <c r="W51" s="42">
        <f t="shared" si="20"/>
        <v>13521101</v>
      </c>
      <c r="X51" s="42">
        <f t="shared" si="21"/>
        <v>31</v>
      </c>
      <c r="Y51" s="12"/>
      <c r="Z51" s="2"/>
    </row>
    <row r="52" spans="1:26" ht="15" x14ac:dyDescent="0.25">
      <c r="A52" s="30">
        <v>32</v>
      </c>
      <c r="B52" s="30">
        <v>13521103</v>
      </c>
      <c r="C52" s="31" t="s">
        <v>162</v>
      </c>
      <c r="D52" s="32" t="s">
        <v>7</v>
      </c>
      <c r="E52" s="33">
        <f ca="1">VLOOKUP($B52, Rekap_Tugas!$A$3:$I$161, 4, FALSE)</f>
        <v>100.5</v>
      </c>
      <c r="F52" s="33">
        <f ca="1">VLOOKUP($B52, Rekap_Tugas!$A$3:$I$161, 5, FALSE)</f>
        <v>114</v>
      </c>
      <c r="G52" s="33">
        <f ca="1">VLOOKUP($B52, Rekap_Tugas!$A$3:$I$161, 6, FALSE)</f>
        <v>100</v>
      </c>
      <c r="H52" s="34">
        <f t="shared" ca="1" si="14"/>
        <v>104.83333333333333</v>
      </c>
      <c r="I52" s="33">
        <f ca="1">VLOOKUP($B52, Rekap_Tugas!$A$3:$I$161, 7, FALSE)</f>
        <v>101</v>
      </c>
      <c r="J52" s="33">
        <f ca="1">VLOOKUP($B52, Rekap_Tugas!$A$3:$I$161, 8, FALSE)</f>
        <v>111</v>
      </c>
      <c r="K52" s="33">
        <f ca="1">VLOOKUP($B52, Rekap_Tugas!$A$3:$I$161, 9, FALSE)</f>
        <v>108</v>
      </c>
      <c r="L52" s="35">
        <f t="shared" ca="1" si="15"/>
        <v>106.66666666666667</v>
      </c>
      <c r="M52" s="36">
        <f>VLOOKUP(B52,UTS!$B$5:$M$163,12,FALSE)</f>
        <v>67</v>
      </c>
      <c r="N52" s="37">
        <f>VLOOKUP(B52,UAS!$B$5:$L$163,11,FALSE)</f>
        <v>73.5</v>
      </c>
      <c r="O52" s="38" t="s">
        <v>17</v>
      </c>
      <c r="P52" s="39">
        <v>80</v>
      </c>
      <c r="Q52" s="30">
        <v>25</v>
      </c>
      <c r="R52" s="36">
        <f t="shared" si="16"/>
        <v>92.592592592592595</v>
      </c>
      <c r="S52" s="35">
        <f t="shared" ca="1" si="17"/>
        <v>81.946064814814804</v>
      </c>
      <c r="T52" s="24">
        <f>VLOOKUP(B52,UAS!$B$5:$M$163,12,FALSE)</f>
        <v>0</v>
      </c>
      <c r="U52" s="40" t="str">
        <f t="shared" ca="1" si="18"/>
        <v>AB</v>
      </c>
      <c r="V52" s="41" t="str">
        <f t="shared" si="19"/>
        <v>Aulia Mey Diva Annandya</v>
      </c>
      <c r="W52" s="42">
        <f t="shared" si="20"/>
        <v>13521103</v>
      </c>
      <c r="X52" s="42">
        <f t="shared" si="21"/>
        <v>32</v>
      </c>
      <c r="Y52" s="12"/>
      <c r="Z52" s="2"/>
    </row>
    <row r="53" spans="1:26" ht="15" x14ac:dyDescent="0.25">
      <c r="A53" s="30">
        <v>33</v>
      </c>
      <c r="B53" s="30">
        <v>13521105</v>
      </c>
      <c r="C53" s="31" t="s">
        <v>140</v>
      </c>
      <c r="D53" s="32" t="s">
        <v>7</v>
      </c>
      <c r="E53" s="33">
        <f ca="1">VLOOKUP($B53, Rekap_Tugas!$A$3:$I$161, 4, FALSE)</f>
        <v>80</v>
      </c>
      <c r="F53" s="33">
        <f ca="1">VLOOKUP($B53, Rekap_Tugas!$A$3:$I$161, 5, FALSE)</f>
        <v>113</v>
      </c>
      <c r="G53" s="33">
        <f ca="1">VLOOKUP($B53, Rekap_Tugas!$A$3:$I$161, 6, FALSE)</f>
        <v>99</v>
      </c>
      <c r="H53" s="34">
        <f t="shared" ref="H53:H84" ca="1" si="22">AVERAGE(E53:G53)</f>
        <v>97.333333333333329</v>
      </c>
      <c r="I53" s="33">
        <f ca="1">VLOOKUP($B53, Rekap_Tugas!$A$3:$I$161, 7, FALSE)</f>
        <v>104</v>
      </c>
      <c r="J53" s="33">
        <f ca="1">VLOOKUP($B53, Rekap_Tugas!$A$3:$I$161, 8, FALSE)</f>
        <v>104.5</v>
      </c>
      <c r="K53" s="33">
        <f ca="1">VLOOKUP($B53, Rekap_Tugas!$A$3:$I$161, 9, FALSE)</f>
        <v>94.5</v>
      </c>
      <c r="L53" s="35">
        <f t="shared" ref="L53:L84" ca="1" si="23">AVERAGE(I53:K53)</f>
        <v>101</v>
      </c>
      <c r="M53" s="36">
        <f>VLOOKUP(B53,UTS!$B$5:$M$163,12,FALSE)</f>
        <v>73.5</v>
      </c>
      <c r="N53" s="37">
        <f>VLOOKUP(B53,UAS!$B$5:$L$163,11,FALSE)</f>
        <v>82</v>
      </c>
      <c r="O53" s="38" t="s">
        <v>17</v>
      </c>
      <c r="P53" s="39">
        <v>80</v>
      </c>
      <c r="Q53" s="30">
        <v>24</v>
      </c>
      <c r="R53" s="36">
        <f t="shared" ref="R53:R84" si="24">(Q53/27)*100</f>
        <v>88.888888888888886</v>
      </c>
      <c r="S53" s="35">
        <f t="shared" ref="S53:S84" ca="1" si="25">$H$16*H53+$L$16*L53+$M$16*M53+$N$16*N53+$P$16*P53+$R$16*R53</f>
        <v>84.565972222222229</v>
      </c>
      <c r="T53" s="24" t="str">
        <f>VLOOKUP(B53,UAS!$B$5:$M$163,12,FALSE)</f>
        <v>A</v>
      </c>
      <c r="U53" s="40" t="str">
        <f t="shared" ref="U53:U84" ca="1" si="26">VLOOKUP(S53,$T$4:$U$10,2)</f>
        <v>A</v>
      </c>
      <c r="V53" s="41" t="str">
        <f t="shared" ref="V53:V84" si="27">C53</f>
        <v>Haidar Hamda</v>
      </c>
      <c r="W53" s="42">
        <f t="shared" ref="W53:W84" si="28">B53</f>
        <v>13521105</v>
      </c>
      <c r="X53" s="42">
        <f t="shared" ref="X53:X84" si="29">A53</f>
        <v>33</v>
      </c>
      <c r="Y53" s="12"/>
      <c r="Z53" s="2"/>
    </row>
    <row r="54" spans="1:26" ht="15" x14ac:dyDescent="0.25">
      <c r="A54" s="30">
        <v>34</v>
      </c>
      <c r="B54" s="30">
        <v>13521107</v>
      </c>
      <c r="C54" s="31" t="s">
        <v>62</v>
      </c>
      <c r="D54" s="32" t="s">
        <v>7</v>
      </c>
      <c r="E54" s="33">
        <f ca="1">VLOOKUP($B54, Rekap_Tugas!$A$3:$I$161, 4, FALSE)</f>
        <v>98.5</v>
      </c>
      <c r="F54" s="33">
        <f ca="1">VLOOKUP($B54, Rekap_Tugas!$A$3:$I$161, 5, FALSE)</f>
        <v>115</v>
      </c>
      <c r="G54" s="33">
        <f ca="1">VLOOKUP($B54, Rekap_Tugas!$A$3:$I$161, 6, FALSE)</f>
        <v>101</v>
      </c>
      <c r="H54" s="34">
        <f t="shared" ca="1" si="22"/>
        <v>104.83333333333333</v>
      </c>
      <c r="I54" s="33">
        <f ca="1">VLOOKUP($B54, Rekap_Tugas!$A$3:$I$161, 7, FALSE)</f>
        <v>100</v>
      </c>
      <c r="J54" s="33">
        <f ca="1">VLOOKUP($B54, Rekap_Tugas!$A$3:$I$161, 8, FALSE)</f>
        <v>113</v>
      </c>
      <c r="K54" s="33">
        <f ca="1">VLOOKUP($B54, Rekap_Tugas!$A$3:$I$161, 9, FALSE)</f>
        <v>95.5</v>
      </c>
      <c r="L54" s="35">
        <f t="shared" ca="1" si="23"/>
        <v>102.83333333333333</v>
      </c>
      <c r="M54" s="36">
        <f>VLOOKUP(B54,UTS!$B$5:$M$163,12,FALSE)</f>
        <v>100</v>
      </c>
      <c r="N54" s="37">
        <f>VLOOKUP(B54,UAS!$B$5:$L$163,11,FALSE)</f>
        <v>86</v>
      </c>
      <c r="O54" s="38" t="s">
        <v>18</v>
      </c>
      <c r="P54" s="39">
        <v>85</v>
      </c>
      <c r="Q54" s="30">
        <v>26</v>
      </c>
      <c r="R54" s="36">
        <f t="shared" si="24"/>
        <v>96.296296296296291</v>
      </c>
      <c r="S54" s="35">
        <f t="shared" ca="1" si="25"/>
        <v>95.93240740740741</v>
      </c>
      <c r="T54" s="24" t="str">
        <f>VLOOKUP(B54,UAS!$B$5:$M$163,12,FALSE)</f>
        <v>A</v>
      </c>
      <c r="U54" s="40" t="str">
        <f t="shared" ca="1" si="26"/>
        <v>A</v>
      </c>
      <c r="V54" s="41" t="str">
        <f t="shared" si="27"/>
        <v>Jericho Russel Sebastian</v>
      </c>
      <c r="W54" s="42">
        <f t="shared" si="28"/>
        <v>13521107</v>
      </c>
      <c r="X54" s="42">
        <f t="shared" si="29"/>
        <v>34</v>
      </c>
      <c r="Y54" s="12"/>
      <c r="Z54" s="2"/>
    </row>
    <row r="55" spans="1:26" ht="15" x14ac:dyDescent="0.25">
      <c r="A55" s="30">
        <v>35</v>
      </c>
      <c r="B55" s="30">
        <v>13521109</v>
      </c>
      <c r="C55" s="31" t="s">
        <v>184</v>
      </c>
      <c r="D55" s="32" t="s">
        <v>7</v>
      </c>
      <c r="E55" s="33">
        <f ca="1">VLOOKUP($B55, Rekap_Tugas!$A$3:$I$161, 4, FALSE)</f>
        <v>77</v>
      </c>
      <c r="F55" s="33">
        <f ca="1">VLOOKUP($B55, Rekap_Tugas!$A$3:$I$161, 5, FALSE)</f>
        <v>115</v>
      </c>
      <c r="G55" s="33">
        <f ca="1">VLOOKUP($B55, Rekap_Tugas!$A$3:$I$161, 6, FALSE)</f>
        <v>107</v>
      </c>
      <c r="H55" s="34">
        <f t="shared" ca="1" si="22"/>
        <v>99.666666666666671</v>
      </c>
      <c r="I55" s="33">
        <f ca="1">VLOOKUP($B55, Rekap_Tugas!$A$3:$I$161, 7, FALSE)</f>
        <v>98</v>
      </c>
      <c r="J55" s="33">
        <f ca="1">VLOOKUP($B55, Rekap_Tugas!$A$3:$I$161, 8, FALSE)</f>
        <v>87.5</v>
      </c>
      <c r="K55" s="33">
        <f ca="1">VLOOKUP($B55, Rekap_Tugas!$A$3:$I$161, 9, FALSE)</f>
        <v>101</v>
      </c>
      <c r="L55" s="35">
        <f t="shared" ca="1" si="23"/>
        <v>95.5</v>
      </c>
      <c r="M55" s="36">
        <f>VLOOKUP(B55,UTS!$B$5:$M$163,12,FALSE)</f>
        <v>63.5</v>
      </c>
      <c r="N55" s="37">
        <f>VLOOKUP(B55,UAS!$B$5:$L$163,11,FALSE)</f>
        <v>70</v>
      </c>
      <c r="O55" s="38" t="s">
        <v>15</v>
      </c>
      <c r="P55" s="39">
        <v>75</v>
      </c>
      <c r="Q55" s="30">
        <v>23</v>
      </c>
      <c r="R55" s="36">
        <f t="shared" si="24"/>
        <v>85.18518518518519</v>
      </c>
      <c r="S55" s="35">
        <f t="shared" ca="1" si="25"/>
        <v>76.873379629629639</v>
      </c>
      <c r="T55" s="24" t="str">
        <f>VLOOKUP(B55,UAS!$B$5:$M$163,12,FALSE)</f>
        <v>AB</v>
      </c>
      <c r="U55" s="40" t="str">
        <f t="shared" ca="1" si="26"/>
        <v>AB</v>
      </c>
      <c r="V55" s="41" t="str">
        <f t="shared" si="27"/>
        <v>Rizky Abdillah Rasyid</v>
      </c>
      <c r="W55" s="42">
        <f t="shared" si="28"/>
        <v>13521109</v>
      </c>
      <c r="X55" s="42">
        <f t="shared" si="29"/>
        <v>35</v>
      </c>
      <c r="Y55" s="12"/>
      <c r="Z55" s="2"/>
    </row>
    <row r="56" spans="1:26" ht="15" x14ac:dyDescent="0.25">
      <c r="A56" s="30">
        <v>36</v>
      </c>
      <c r="B56" s="30">
        <v>13521111</v>
      </c>
      <c r="C56" s="31" t="s">
        <v>96</v>
      </c>
      <c r="D56" s="32" t="s">
        <v>7</v>
      </c>
      <c r="E56" s="33">
        <f ca="1">VLOOKUP($B56, Rekap_Tugas!$A$3:$I$161, 4, FALSE)</f>
        <v>87.5</v>
      </c>
      <c r="F56" s="33">
        <f ca="1">VLOOKUP($B56, Rekap_Tugas!$A$3:$I$161, 5, FALSE)</f>
        <v>114</v>
      </c>
      <c r="G56" s="33">
        <f ca="1">VLOOKUP($B56, Rekap_Tugas!$A$3:$I$161, 6, FALSE)</f>
        <v>99</v>
      </c>
      <c r="H56" s="34">
        <f t="shared" ca="1" si="22"/>
        <v>100.16666666666667</v>
      </c>
      <c r="I56" s="33">
        <f ca="1">VLOOKUP($B56, Rekap_Tugas!$A$3:$I$161, 7, FALSE)</f>
        <v>107</v>
      </c>
      <c r="J56" s="33">
        <f ca="1">VLOOKUP($B56, Rekap_Tugas!$A$3:$I$161, 8, FALSE)</f>
        <v>111</v>
      </c>
      <c r="K56" s="33">
        <f ca="1">VLOOKUP($B56, Rekap_Tugas!$A$3:$I$161, 9, FALSE)</f>
        <v>94</v>
      </c>
      <c r="L56" s="35">
        <f t="shared" ca="1" si="23"/>
        <v>104</v>
      </c>
      <c r="M56" s="36">
        <f>VLOOKUP(B56,UTS!$B$5:$M$163,12,FALSE)</f>
        <v>85.5</v>
      </c>
      <c r="N56" s="37">
        <f>VLOOKUP(B56,UAS!$B$5:$L$163,11,FALSE)</f>
        <v>84</v>
      </c>
      <c r="O56" s="38" t="s">
        <v>44</v>
      </c>
      <c r="P56" s="39">
        <v>90</v>
      </c>
      <c r="Q56" s="30">
        <v>25</v>
      </c>
      <c r="R56" s="36">
        <f t="shared" si="24"/>
        <v>92.592592592592595</v>
      </c>
      <c r="S56" s="35">
        <f t="shared" ca="1" si="25"/>
        <v>90.40856481481481</v>
      </c>
      <c r="T56" s="24" t="str">
        <f>VLOOKUP(B56,UAS!$B$5:$M$163,12,FALSE)</f>
        <v>A</v>
      </c>
      <c r="U56" s="40" t="str">
        <f t="shared" ca="1" si="26"/>
        <v>A</v>
      </c>
      <c r="V56" s="41" t="str">
        <f t="shared" si="27"/>
        <v>Tabitha Permalla</v>
      </c>
      <c r="W56" s="42">
        <f t="shared" si="28"/>
        <v>13521111</v>
      </c>
      <c r="X56" s="42">
        <f t="shared" si="29"/>
        <v>36</v>
      </c>
      <c r="Y56" s="12"/>
      <c r="Z56" s="2"/>
    </row>
    <row r="57" spans="1:26" ht="15" x14ac:dyDescent="0.25">
      <c r="A57" s="30">
        <v>37</v>
      </c>
      <c r="B57" s="30">
        <v>13521115</v>
      </c>
      <c r="C57" s="31" t="s">
        <v>126</v>
      </c>
      <c r="D57" s="32" t="s">
        <v>7</v>
      </c>
      <c r="E57" s="33">
        <f ca="1">VLOOKUP($B57, Rekap_Tugas!$A$3:$I$161, 4, FALSE)</f>
        <v>84</v>
      </c>
      <c r="F57" s="33">
        <f ca="1">VLOOKUP($B57, Rekap_Tugas!$A$3:$I$161, 5, FALSE)</f>
        <v>115</v>
      </c>
      <c r="G57" s="33">
        <f ca="1">VLOOKUP($B57, Rekap_Tugas!$A$3:$I$161, 6, FALSE)</f>
        <v>99</v>
      </c>
      <c r="H57" s="34">
        <f t="shared" ca="1" si="22"/>
        <v>99.333333333333329</v>
      </c>
      <c r="I57" s="33">
        <f ca="1">VLOOKUP($B57, Rekap_Tugas!$A$3:$I$161, 7, FALSE)</f>
        <v>106</v>
      </c>
      <c r="J57" s="33">
        <f ca="1">VLOOKUP($B57, Rekap_Tugas!$A$3:$I$161, 8, FALSE)</f>
        <v>113</v>
      </c>
      <c r="K57" s="33">
        <f ca="1">VLOOKUP($B57, Rekap_Tugas!$A$3:$I$161, 9, FALSE)</f>
        <v>103.5</v>
      </c>
      <c r="L57" s="35">
        <f t="shared" ca="1" si="23"/>
        <v>107.5</v>
      </c>
      <c r="M57" s="36">
        <f>VLOOKUP(B57,UTS!$B$5:$M$163,12,FALSE)</f>
        <v>83</v>
      </c>
      <c r="N57" s="37">
        <f>VLOOKUP(B57,UAS!$B$5:$L$163,11,FALSE)</f>
        <v>74</v>
      </c>
      <c r="O57" s="38" t="s">
        <v>49</v>
      </c>
      <c r="P57" s="39">
        <v>90</v>
      </c>
      <c r="Q57" s="30">
        <v>26</v>
      </c>
      <c r="R57" s="36">
        <f t="shared" si="24"/>
        <v>96.296296296296291</v>
      </c>
      <c r="S57" s="35">
        <f t="shared" ca="1" si="25"/>
        <v>86.99490740740741</v>
      </c>
      <c r="T57" s="24" t="str">
        <f>VLOOKUP(B57,UAS!$B$5:$M$163,12,FALSE)</f>
        <v>B</v>
      </c>
      <c r="U57" s="40" t="str">
        <f t="shared" ca="1" si="26"/>
        <v>A</v>
      </c>
      <c r="V57" s="41" t="str">
        <f t="shared" si="27"/>
        <v>Shelma Salsabila</v>
      </c>
      <c r="W57" s="42">
        <f t="shared" si="28"/>
        <v>13521115</v>
      </c>
      <c r="X57" s="42">
        <f t="shared" si="29"/>
        <v>37</v>
      </c>
      <c r="Y57" s="12"/>
      <c r="Z57" s="2"/>
    </row>
    <row r="58" spans="1:26" ht="15" x14ac:dyDescent="0.25">
      <c r="A58" s="30">
        <v>38</v>
      </c>
      <c r="B58" s="30">
        <v>13521117</v>
      </c>
      <c r="C58" s="31" t="s">
        <v>207</v>
      </c>
      <c r="D58" s="32" t="s">
        <v>7</v>
      </c>
      <c r="E58" s="33">
        <f ca="1">VLOOKUP($B58, Rekap_Tugas!$A$3:$I$161, 4, FALSE)</f>
        <v>10</v>
      </c>
      <c r="F58" s="33">
        <f ca="1">VLOOKUP($B58, Rekap_Tugas!$A$3:$I$161, 5, FALSE)</f>
        <v>0</v>
      </c>
      <c r="G58" s="33">
        <f ca="1">VLOOKUP($B58, Rekap_Tugas!$A$3:$I$161, 6, FALSE)</f>
        <v>101</v>
      </c>
      <c r="H58" s="34">
        <f t="shared" ca="1" si="22"/>
        <v>37</v>
      </c>
      <c r="I58" s="33">
        <f ca="1">VLOOKUP($B58, Rekap_Tugas!$A$3:$I$161, 7, FALSE)</f>
        <v>103</v>
      </c>
      <c r="J58" s="33">
        <f ca="1">VLOOKUP($B58, Rekap_Tugas!$A$3:$I$161, 8, FALSE)</f>
        <v>50.5</v>
      </c>
      <c r="K58" s="33">
        <f ca="1">VLOOKUP($B58, Rekap_Tugas!$A$3:$I$161, 9, FALSE)</f>
        <v>88.5</v>
      </c>
      <c r="L58" s="35">
        <f t="shared" ca="1" si="23"/>
        <v>80.666666666666671</v>
      </c>
      <c r="M58" s="36">
        <f>VLOOKUP(B58,UTS!$B$5:$M$163,12,FALSE)</f>
        <v>37.5</v>
      </c>
      <c r="N58" s="37">
        <f>VLOOKUP(B58,UAS!$B$5:$L$163,11,FALSE)</f>
        <v>55</v>
      </c>
      <c r="O58" s="38" t="s">
        <v>17</v>
      </c>
      <c r="P58" s="39">
        <v>80</v>
      </c>
      <c r="Q58" s="30">
        <v>25</v>
      </c>
      <c r="R58" s="36">
        <f t="shared" si="24"/>
        <v>92.592592592592595</v>
      </c>
      <c r="S58" s="9">
        <f t="shared" ca="1" si="25"/>
        <v>52.871064814814815</v>
      </c>
      <c r="T58" s="24" t="str">
        <f>VLOOKUP(B58,UAS!$B$5:$M$163,12,FALSE)</f>
        <v>B</v>
      </c>
      <c r="U58" s="40" t="str">
        <f t="shared" ca="1" si="26"/>
        <v>C</v>
      </c>
      <c r="V58" s="41" t="str">
        <f t="shared" si="27"/>
        <v>Maggie Zeta Rosida S</v>
      </c>
      <c r="W58" s="42">
        <f t="shared" si="28"/>
        <v>13521117</v>
      </c>
      <c r="X58" s="42">
        <f t="shared" si="29"/>
        <v>38</v>
      </c>
      <c r="Y58" s="12"/>
      <c r="Z58" s="2"/>
    </row>
    <row r="59" spans="1:26" ht="15" x14ac:dyDescent="0.25">
      <c r="A59" s="30">
        <v>39</v>
      </c>
      <c r="B59" s="30">
        <v>13521119</v>
      </c>
      <c r="C59" s="31" t="s">
        <v>101</v>
      </c>
      <c r="D59" s="32" t="s">
        <v>7</v>
      </c>
      <c r="E59" s="33">
        <f ca="1">VLOOKUP($B59, Rekap_Tugas!$A$3:$I$161, 4, FALSE)</f>
        <v>94</v>
      </c>
      <c r="F59" s="33">
        <f ca="1">VLOOKUP($B59, Rekap_Tugas!$A$3:$I$161, 5, FALSE)</f>
        <v>115</v>
      </c>
      <c r="G59" s="33">
        <f ca="1">VLOOKUP($B59, Rekap_Tugas!$A$3:$I$161, 6, FALSE)</f>
        <v>100</v>
      </c>
      <c r="H59" s="34">
        <f t="shared" ca="1" si="22"/>
        <v>103</v>
      </c>
      <c r="I59" s="33">
        <f ca="1">VLOOKUP($B59, Rekap_Tugas!$A$3:$I$161, 7, FALSE)</f>
        <v>92</v>
      </c>
      <c r="J59" s="33">
        <f ca="1">VLOOKUP($B59, Rekap_Tugas!$A$3:$I$161, 8, FALSE)</f>
        <v>105</v>
      </c>
      <c r="K59" s="33">
        <f ca="1">VLOOKUP($B59, Rekap_Tugas!$A$3:$I$161, 9, FALSE)</f>
        <v>103.5</v>
      </c>
      <c r="L59" s="35">
        <f t="shared" ca="1" si="23"/>
        <v>100.16666666666667</v>
      </c>
      <c r="M59" s="36">
        <f>VLOOKUP(B59,UTS!$B$5:$M$163,12,FALSE)</f>
        <v>80.5</v>
      </c>
      <c r="N59" s="37">
        <f>VLOOKUP(B59,UAS!$B$5:$L$163,11,FALSE)</f>
        <v>88.5</v>
      </c>
      <c r="O59" s="38" t="s">
        <v>44</v>
      </c>
      <c r="P59" s="39">
        <v>90</v>
      </c>
      <c r="Q59" s="30">
        <v>22</v>
      </c>
      <c r="R59" s="36">
        <f t="shared" si="24"/>
        <v>81.481481481481481</v>
      </c>
      <c r="S59" s="35">
        <f t="shared" ca="1" si="25"/>
        <v>89.824537037037032</v>
      </c>
      <c r="T59" s="24" t="str">
        <f>VLOOKUP(B59,UAS!$B$5:$M$163,12,FALSE)</f>
        <v>AB</v>
      </c>
      <c r="U59" s="40" t="str">
        <f t="shared" ca="1" si="26"/>
        <v>A</v>
      </c>
      <c r="V59" s="41" t="str">
        <f t="shared" si="27"/>
        <v>Muhammad Rizky Sya'ban</v>
      </c>
      <c r="W59" s="42">
        <f t="shared" si="28"/>
        <v>13521119</v>
      </c>
      <c r="X59" s="42">
        <f t="shared" si="29"/>
        <v>39</v>
      </c>
      <c r="Y59" s="12"/>
      <c r="Z59" s="2"/>
    </row>
    <row r="60" spans="1:26" ht="15" x14ac:dyDescent="0.25">
      <c r="A60" s="30">
        <v>40</v>
      </c>
      <c r="B60" s="30">
        <v>13521121</v>
      </c>
      <c r="C60" s="31" t="s">
        <v>141</v>
      </c>
      <c r="D60" s="32" t="s">
        <v>7</v>
      </c>
      <c r="E60" s="33">
        <f ca="1">VLOOKUP($B60, Rekap_Tugas!$A$3:$I$161, 4, FALSE)</f>
        <v>94</v>
      </c>
      <c r="F60" s="33">
        <f ca="1">VLOOKUP($B60, Rekap_Tugas!$A$3:$I$161, 5, FALSE)</f>
        <v>115</v>
      </c>
      <c r="G60" s="33">
        <f ca="1">VLOOKUP($B60, Rekap_Tugas!$A$3:$I$161, 6, FALSE)</f>
        <v>107</v>
      </c>
      <c r="H60" s="34">
        <f t="shared" ca="1" si="22"/>
        <v>105.33333333333333</v>
      </c>
      <c r="I60" s="33">
        <f ca="1">VLOOKUP($B60, Rekap_Tugas!$A$3:$I$161, 7, FALSE)</f>
        <v>106</v>
      </c>
      <c r="J60" s="33">
        <f ca="1">VLOOKUP($B60, Rekap_Tugas!$A$3:$I$161, 8, FALSE)</f>
        <v>97</v>
      </c>
      <c r="K60" s="33">
        <f ca="1">VLOOKUP($B60, Rekap_Tugas!$A$3:$I$161, 9, FALSE)</f>
        <v>101</v>
      </c>
      <c r="L60" s="35">
        <f t="shared" ca="1" si="23"/>
        <v>101.33333333333333</v>
      </c>
      <c r="M60" s="36">
        <f>VLOOKUP(B60,UTS!$B$5:$M$163,12,FALSE)</f>
        <v>83</v>
      </c>
      <c r="N60" s="37">
        <f>VLOOKUP(B60,UAS!$B$5:$L$163,11,FALSE)</f>
        <v>67.5</v>
      </c>
      <c r="O60" s="38" t="s">
        <v>17</v>
      </c>
      <c r="P60" s="39">
        <v>80</v>
      </c>
      <c r="Q60" s="30">
        <v>25</v>
      </c>
      <c r="R60" s="36">
        <f t="shared" si="24"/>
        <v>92.592592592592595</v>
      </c>
      <c r="S60" s="35">
        <f t="shared" ca="1" si="25"/>
        <v>84.34606481481481</v>
      </c>
      <c r="T60" s="24" t="str">
        <f>VLOOKUP(B60,UAS!$B$5:$M$163,12,FALSE)</f>
        <v>AB</v>
      </c>
      <c r="U60" s="40" t="str">
        <f t="shared" ca="1" si="26"/>
        <v>A</v>
      </c>
      <c r="V60" s="41" t="str">
        <f t="shared" si="27"/>
        <v>Saddam Annais Shaquille</v>
      </c>
      <c r="W60" s="42">
        <f t="shared" si="28"/>
        <v>13521121</v>
      </c>
      <c r="X60" s="42">
        <f t="shared" si="29"/>
        <v>40</v>
      </c>
      <c r="Y60" s="12"/>
      <c r="Z60" s="2"/>
    </row>
    <row r="61" spans="1:26" ht="15" x14ac:dyDescent="0.25">
      <c r="A61" s="30">
        <v>41</v>
      </c>
      <c r="B61" s="30">
        <v>13521123</v>
      </c>
      <c r="C61" s="31" t="s">
        <v>43</v>
      </c>
      <c r="D61" s="32" t="s">
        <v>7</v>
      </c>
      <c r="E61" s="33">
        <f ca="1">VLOOKUP($B61, Rekap_Tugas!$A$3:$I$161, 4, FALSE)</f>
        <v>90</v>
      </c>
      <c r="F61" s="33">
        <f ca="1">VLOOKUP($B61, Rekap_Tugas!$A$3:$I$161, 5, FALSE)</f>
        <v>115</v>
      </c>
      <c r="G61" s="33">
        <f ca="1">VLOOKUP($B61, Rekap_Tugas!$A$3:$I$161, 6, FALSE)</f>
        <v>105</v>
      </c>
      <c r="H61" s="34">
        <f t="shared" ca="1" si="22"/>
        <v>103.33333333333333</v>
      </c>
      <c r="I61" s="33">
        <f ca="1">VLOOKUP($B61, Rekap_Tugas!$A$3:$I$161, 7, FALSE)</f>
        <v>107</v>
      </c>
      <c r="J61" s="33">
        <f ca="1">VLOOKUP($B61, Rekap_Tugas!$A$3:$I$161, 8, FALSE)</f>
        <v>114</v>
      </c>
      <c r="K61" s="33">
        <f ca="1">VLOOKUP($B61, Rekap_Tugas!$A$3:$I$161, 9, FALSE)</f>
        <v>110</v>
      </c>
      <c r="L61" s="35">
        <f t="shared" ca="1" si="23"/>
        <v>110.33333333333333</v>
      </c>
      <c r="M61" s="36">
        <f>VLOOKUP(B61,UTS!$B$5:$M$163,12,FALSE)</f>
        <v>94</v>
      </c>
      <c r="N61" s="37">
        <f>VLOOKUP(B61,UAS!$B$5:$L$163,11,FALSE)</f>
        <v>101.5</v>
      </c>
      <c r="O61" s="38" t="s">
        <v>44</v>
      </c>
      <c r="P61" s="39">
        <v>90</v>
      </c>
      <c r="Q61" s="30">
        <v>27</v>
      </c>
      <c r="R61" s="36">
        <f t="shared" si="24"/>
        <v>100</v>
      </c>
      <c r="S61" s="35">
        <f t="shared" ca="1" si="25"/>
        <v>100.14375</v>
      </c>
      <c r="T61" s="24" t="str">
        <f>VLOOKUP(B61,UAS!$B$5:$M$163,12,FALSE)</f>
        <v>AB</v>
      </c>
      <c r="U61" s="40" t="str">
        <f t="shared" ca="1" si="26"/>
        <v>A</v>
      </c>
      <c r="V61" s="41" t="str">
        <f t="shared" si="27"/>
        <v>William Nixon</v>
      </c>
      <c r="W61" s="42">
        <f t="shared" si="28"/>
        <v>13521123</v>
      </c>
      <c r="X61" s="42">
        <f t="shared" si="29"/>
        <v>41</v>
      </c>
      <c r="Y61" s="12"/>
      <c r="Z61" s="2"/>
    </row>
    <row r="62" spans="1:26" ht="15" x14ac:dyDescent="0.25">
      <c r="A62" s="30">
        <v>42</v>
      </c>
      <c r="B62" s="30">
        <v>13521125</v>
      </c>
      <c r="C62" s="31" t="s">
        <v>204</v>
      </c>
      <c r="D62" s="32" t="s">
        <v>7</v>
      </c>
      <c r="E62" s="33">
        <f ca="1">VLOOKUP($B62, Rekap_Tugas!$A$3:$I$161, 4, FALSE)</f>
        <v>62</v>
      </c>
      <c r="F62" s="33">
        <f ca="1">VLOOKUP($B62, Rekap_Tugas!$A$3:$I$161, 5, FALSE)</f>
        <v>105.5</v>
      </c>
      <c r="G62" s="33">
        <f ca="1">VLOOKUP($B62, Rekap_Tugas!$A$3:$I$161, 6, FALSE)</f>
        <v>101</v>
      </c>
      <c r="H62" s="34">
        <f t="shared" ca="1" si="22"/>
        <v>89.5</v>
      </c>
      <c r="I62" s="33">
        <f ca="1">VLOOKUP($B62, Rekap_Tugas!$A$3:$I$161, 7, FALSE)</f>
        <v>99</v>
      </c>
      <c r="J62" s="33">
        <f ca="1">VLOOKUP($B62, Rekap_Tugas!$A$3:$I$161, 8, FALSE)</f>
        <v>74</v>
      </c>
      <c r="K62" s="33">
        <f ca="1">VLOOKUP($B62, Rekap_Tugas!$A$3:$I$161, 9, FALSE)</f>
        <v>106.5</v>
      </c>
      <c r="L62" s="35">
        <f t="shared" ca="1" si="23"/>
        <v>93.166666666666671</v>
      </c>
      <c r="M62" s="36">
        <f>VLOOKUP(B62,UTS!$B$5:$M$163,12,FALSE)</f>
        <v>43</v>
      </c>
      <c r="N62" s="37">
        <f>VLOOKUP(B62,UAS!$B$5:$L$163,11,FALSE)</f>
        <v>63</v>
      </c>
      <c r="O62" s="38" t="s">
        <v>18</v>
      </c>
      <c r="P62" s="39">
        <v>85</v>
      </c>
      <c r="Q62" s="30">
        <v>27</v>
      </c>
      <c r="R62" s="36">
        <f t="shared" si="24"/>
        <v>100</v>
      </c>
      <c r="S62" s="35">
        <f t="shared" ca="1" si="25"/>
        <v>67.275000000000006</v>
      </c>
      <c r="T62" s="24" t="str">
        <f>VLOOKUP(B62,UAS!$B$5:$M$163,12,FALSE)</f>
        <v>B</v>
      </c>
      <c r="U62" s="40" t="str">
        <f t="shared" ca="1" si="26"/>
        <v>C</v>
      </c>
      <c r="V62" s="41" t="str">
        <f t="shared" si="27"/>
        <v>Asyifa Nurul Shafira</v>
      </c>
      <c r="W62" s="42">
        <f t="shared" si="28"/>
        <v>13521125</v>
      </c>
      <c r="X62" s="42">
        <f t="shared" si="29"/>
        <v>42</v>
      </c>
      <c r="Y62" s="12"/>
      <c r="Z62" s="2"/>
    </row>
    <row r="63" spans="1:26" ht="15" x14ac:dyDescent="0.25">
      <c r="A63" s="30">
        <v>43</v>
      </c>
      <c r="B63" s="30">
        <v>13521127</v>
      </c>
      <c r="C63" s="31" t="s">
        <v>71</v>
      </c>
      <c r="D63" s="32" t="s">
        <v>7</v>
      </c>
      <c r="E63" s="33">
        <f ca="1">VLOOKUP($B63, Rekap_Tugas!$A$3:$I$161, 4, FALSE)</f>
        <v>92</v>
      </c>
      <c r="F63" s="33">
        <f ca="1">VLOOKUP($B63, Rekap_Tugas!$A$3:$I$161, 5, FALSE)</f>
        <v>113</v>
      </c>
      <c r="G63" s="33">
        <f ca="1">VLOOKUP($B63, Rekap_Tugas!$A$3:$I$161, 6, FALSE)</f>
        <v>104</v>
      </c>
      <c r="H63" s="34">
        <f t="shared" ca="1" si="22"/>
        <v>103</v>
      </c>
      <c r="I63" s="33">
        <f ca="1">VLOOKUP($B63, Rekap_Tugas!$A$3:$I$161, 7, FALSE)</f>
        <v>108</v>
      </c>
      <c r="J63" s="33">
        <f ca="1">VLOOKUP($B63, Rekap_Tugas!$A$3:$I$161, 8, FALSE)</f>
        <v>110</v>
      </c>
      <c r="K63" s="33">
        <f ca="1">VLOOKUP($B63, Rekap_Tugas!$A$3:$I$161, 9, FALSE)</f>
        <v>102.5</v>
      </c>
      <c r="L63" s="35">
        <f t="shared" ca="1" si="23"/>
        <v>106.83333333333333</v>
      </c>
      <c r="M63" s="36">
        <f>VLOOKUP(B63,UTS!$B$5:$M$163,12,FALSE)</f>
        <v>90.5</v>
      </c>
      <c r="N63" s="37">
        <f>VLOOKUP(B63,UAS!$B$5:$L$163,11,FALSE)</f>
        <v>88</v>
      </c>
      <c r="O63" s="38" t="s">
        <v>18</v>
      </c>
      <c r="P63" s="39">
        <v>85</v>
      </c>
      <c r="Q63" s="30">
        <v>24</v>
      </c>
      <c r="R63" s="36">
        <f t="shared" si="24"/>
        <v>88.888888888888886</v>
      </c>
      <c r="S63" s="35">
        <f t="shared" ca="1" si="25"/>
        <v>93.728472222222223</v>
      </c>
      <c r="T63" s="24">
        <f>VLOOKUP(B63,UAS!$B$5:$M$163,12,FALSE)</f>
        <v>0</v>
      </c>
      <c r="U63" s="40" t="str">
        <f t="shared" ca="1" si="26"/>
        <v>A</v>
      </c>
      <c r="V63" s="41" t="str">
        <f t="shared" si="27"/>
        <v>Marcel Ryan Antony</v>
      </c>
      <c r="W63" s="42">
        <f t="shared" si="28"/>
        <v>13521127</v>
      </c>
      <c r="X63" s="42">
        <f t="shared" si="29"/>
        <v>43</v>
      </c>
      <c r="Y63" s="12"/>
      <c r="Z63" s="2"/>
    </row>
    <row r="64" spans="1:26" ht="15" x14ac:dyDescent="0.25">
      <c r="A64" s="30">
        <v>44</v>
      </c>
      <c r="B64" s="30">
        <v>13521129</v>
      </c>
      <c r="C64" s="31" t="s">
        <v>70</v>
      </c>
      <c r="D64" s="32" t="s">
        <v>7</v>
      </c>
      <c r="E64" s="33">
        <f ca="1">VLOOKUP($B64, Rekap_Tugas!$A$3:$I$161, 4, FALSE)</f>
        <v>93.5</v>
      </c>
      <c r="F64" s="33">
        <f ca="1">VLOOKUP($B64, Rekap_Tugas!$A$3:$I$161, 5, FALSE)</f>
        <v>115</v>
      </c>
      <c r="G64" s="33">
        <f ca="1">VLOOKUP($B64, Rekap_Tugas!$A$3:$I$161, 6, FALSE)</f>
        <v>105</v>
      </c>
      <c r="H64" s="34">
        <f t="shared" ca="1" si="22"/>
        <v>104.5</v>
      </c>
      <c r="I64" s="33">
        <f ca="1">VLOOKUP($B64, Rekap_Tugas!$A$3:$I$161, 7, FALSE)</f>
        <v>106</v>
      </c>
      <c r="J64" s="33">
        <f ca="1">VLOOKUP($B64, Rekap_Tugas!$A$3:$I$161, 8, FALSE)</f>
        <v>108</v>
      </c>
      <c r="K64" s="33">
        <f ca="1">VLOOKUP($B64, Rekap_Tugas!$A$3:$I$161, 9, FALSE)</f>
        <v>109.5</v>
      </c>
      <c r="L64" s="35">
        <f t="shared" ca="1" si="23"/>
        <v>107.83333333333333</v>
      </c>
      <c r="M64" s="36">
        <f>VLOOKUP(B64,UTS!$B$5:$M$163,12,FALSE)</f>
        <v>95</v>
      </c>
      <c r="N64" s="37">
        <f>VLOOKUP(B64,UAS!$B$5:$L$163,11,FALSE)</f>
        <v>81.5</v>
      </c>
      <c r="O64" s="38" t="s">
        <v>18</v>
      </c>
      <c r="P64" s="39">
        <v>85</v>
      </c>
      <c r="Q64" s="30">
        <v>27</v>
      </c>
      <c r="R64" s="36">
        <f t="shared" si="24"/>
        <v>100</v>
      </c>
      <c r="S64" s="35">
        <f t="shared" ca="1" si="25"/>
        <v>93.756249999999994</v>
      </c>
      <c r="T64" s="24" t="str">
        <f>VLOOKUP(B64,UAS!$B$5:$M$163,12,FALSE)</f>
        <v>A</v>
      </c>
      <c r="U64" s="40" t="str">
        <f t="shared" ca="1" si="26"/>
        <v>A</v>
      </c>
      <c r="V64" s="41" t="str">
        <f t="shared" si="27"/>
        <v>Chiquita Ahsanunnisa</v>
      </c>
      <c r="W64" s="42">
        <f t="shared" si="28"/>
        <v>13521129</v>
      </c>
      <c r="X64" s="42">
        <f t="shared" si="29"/>
        <v>44</v>
      </c>
      <c r="Y64" s="12"/>
      <c r="Z64" s="2"/>
    </row>
    <row r="65" spans="1:26" ht="15" x14ac:dyDescent="0.25">
      <c r="A65" s="30">
        <v>45</v>
      </c>
      <c r="B65" s="30">
        <v>13521131</v>
      </c>
      <c r="C65" s="31" t="s">
        <v>155</v>
      </c>
      <c r="D65" s="32" t="s">
        <v>7</v>
      </c>
      <c r="E65" s="33">
        <f ca="1">VLOOKUP($B65, Rekap_Tugas!$A$3:$I$161, 4, FALSE)</f>
        <v>79.5</v>
      </c>
      <c r="F65" s="33">
        <f ca="1">VLOOKUP($B65, Rekap_Tugas!$A$3:$I$161, 5, FALSE)</f>
        <v>115</v>
      </c>
      <c r="G65" s="33">
        <f ca="1">VLOOKUP($B65, Rekap_Tugas!$A$3:$I$161, 6, FALSE)</f>
        <v>100</v>
      </c>
      <c r="H65" s="34">
        <f t="shared" ca="1" si="22"/>
        <v>98.166666666666671</v>
      </c>
      <c r="I65" s="33">
        <f ca="1">VLOOKUP($B65, Rekap_Tugas!$A$3:$I$161, 7, FALSE)</f>
        <v>103</v>
      </c>
      <c r="J65" s="33">
        <f ca="1">VLOOKUP($B65, Rekap_Tugas!$A$3:$I$161, 8, FALSE)</f>
        <v>113</v>
      </c>
      <c r="K65" s="33">
        <f ca="1">VLOOKUP($B65, Rekap_Tugas!$A$3:$I$161, 9, FALSE)</f>
        <v>106.5</v>
      </c>
      <c r="L65" s="35">
        <f t="shared" ca="1" si="23"/>
        <v>107.5</v>
      </c>
      <c r="M65" s="36">
        <f>VLOOKUP(B65,UTS!$B$5:$M$163,12,FALSE)</f>
        <v>78</v>
      </c>
      <c r="N65" s="37">
        <f>VLOOKUP(B65,UAS!$B$5:$L$163,11,FALSE)</f>
        <v>68.5</v>
      </c>
      <c r="O65" s="38" t="s">
        <v>17</v>
      </c>
      <c r="P65" s="39">
        <v>80</v>
      </c>
      <c r="Q65" s="30">
        <v>25</v>
      </c>
      <c r="R65" s="36">
        <f t="shared" si="24"/>
        <v>92.592592592592595</v>
      </c>
      <c r="S65" s="35">
        <f t="shared" ca="1" si="25"/>
        <v>82.946064814814804</v>
      </c>
      <c r="T65" s="24" t="str">
        <f>VLOOKUP(B65,UAS!$B$5:$M$163,12,FALSE)</f>
        <v>AB</v>
      </c>
      <c r="U65" s="40" t="str">
        <f t="shared" ca="1" si="26"/>
        <v>AB</v>
      </c>
      <c r="V65" s="41" t="str">
        <f t="shared" si="27"/>
        <v>Jeremya Dharmawan Raharjo</v>
      </c>
      <c r="W65" s="42">
        <f t="shared" si="28"/>
        <v>13521131</v>
      </c>
      <c r="X65" s="42">
        <f t="shared" si="29"/>
        <v>45</v>
      </c>
      <c r="Y65" s="12"/>
      <c r="Z65" s="2"/>
    </row>
    <row r="66" spans="1:26" ht="15" x14ac:dyDescent="0.25">
      <c r="A66" s="30">
        <v>46</v>
      </c>
      <c r="B66" s="30">
        <v>13521133</v>
      </c>
      <c r="C66" s="31" t="s">
        <v>192</v>
      </c>
      <c r="D66" s="32" t="s">
        <v>7</v>
      </c>
      <c r="E66" s="33">
        <f ca="1">VLOOKUP($B66, Rekap_Tugas!$A$3:$I$161, 4, FALSE)</f>
        <v>85</v>
      </c>
      <c r="F66" s="33">
        <f ca="1">VLOOKUP($B66, Rekap_Tugas!$A$3:$I$161, 5, FALSE)</f>
        <v>115</v>
      </c>
      <c r="G66" s="33">
        <f ca="1">VLOOKUP($B66, Rekap_Tugas!$A$3:$I$161, 6, FALSE)</f>
        <v>99</v>
      </c>
      <c r="H66" s="34">
        <f t="shared" ca="1" si="22"/>
        <v>99.666666666666671</v>
      </c>
      <c r="I66" s="33">
        <f ca="1">VLOOKUP($B66, Rekap_Tugas!$A$3:$I$161, 7, FALSE)</f>
        <v>109</v>
      </c>
      <c r="J66" s="33">
        <f ca="1">VLOOKUP($B66, Rekap_Tugas!$A$3:$I$161, 8, FALSE)</f>
        <v>74</v>
      </c>
      <c r="K66" s="33">
        <f ca="1">VLOOKUP($B66, Rekap_Tugas!$A$3:$I$161, 9, FALSE)</f>
        <v>78</v>
      </c>
      <c r="L66" s="35">
        <f t="shared" ca="1" si="23"/>
        <v>87</v>
      </c>
      <c r="M66" s="36">
        <f>VLOOKUP(B66,UTS!$B$5:$M$163,12,FALSE)</f>
        <v>63</v>
      </c>
      <c r="N66" s="37">
        <f>VLOOKUP(B66,UAS!$B$5:$L$163,11,FALSE)</f>
        <v>67.5</v>
      </c>
      <c r="O66" s="38" t="s">
        <v>44</v>
      </c>
      <c r="P66" s="39">
        <v>90</v>
      </c>
      <c r="Q66" s="30">
        <v>25</v>
      </c>
      <c r="R66" s="36">
        <f t="shared" si="24"/>
        <v>92.592592592592595</v>
      </c>
      <c r="S66" s="35">
        <f t="shared" ca="1" si="25"/>
        <v>75.59606481481481</v>
      </c>
      <c r="T66" s="24" t="str">
        <f>VLOOKUP(B66,UAS!$B$5:$M$163,12,FALSE)</f>
        <v>AB</v>
      </c>
      <c r="U66" s="40" t="str">
        <f t="shared" ca="1" si="26"/>
        <v>B</v>
      </c>
      <c r="V66" s="41" t="str">
        <f t="shared" si="27"/>
        <v>Cetta Reswara Parahita</v>
      </c>
      <c r="W66" s="42">
        <f t="shared" si="28"/>
        <v>13521133</v>
      </c>
      <c r="X66" s="42">
        <f t="shared" si="29"/>
        <v>46</v>
      </c>
      <c r="Y66" s="12"/>
      <c r="Z66" s="2"/>
    </row>
    <row r="67" spans="1:26" ht="15" x14ac:dyDescent="0.25">
      <c r="A67" s="30">
        <v>47</v>
      </c>
      <c r="B67" s="30">
        <v>13521135</v>
      </c>
      <c r="C67" s="31" t="s">
        <v>69</v>
      </c>
      <c r="D67" s="32" t="s">
        <v>7</v>
      </c>
      <c r="E67" s="33">
        <f ca="1">VLOOKUP($B67, Rekap_Tugas!$A$3:$I$161, 4, FALSE)</f>
        <v>95.5</v>
      </c>
      <c r="F67" s="33">
        <f ca="1">VLOOKUP($B67, Rekap_Tugas!$A$3:$I$161, 5, FALSE)</f>
        <v>115</v>
      </c>
      <c r="G67" s="33">
        <f ca="1">VLOOKUP($B67, Rekap_Tugas!$A$3:$I$161, 6, FALSE)</f>
        <v>100</v>
      </c>
      <c r="H67" s="34">
        <f t="shared" ca="1" si="22"/>
        <v>103.5</v>
      </c>
      <c r="I67" s="33">
        <f ca="1">VLOOKUP($B67, Rekap_Tugas!$A$3:$I$161, 7, FALSE)</f>
        <v>107</v>
      </c>
      <c r="J67" s="33">
        <f ca="1">VLOOKUP($B67, Rekap_Tugas!$A$3:$I$161, 8, FALSE)</f>
        <v>102.5</v>
      </c>
      <c r="K67" s="33">
        <f ca="1">VLOOKUP($B67, Rekap_Tugas!$A$3:$I$161, 9, FALSE)</f>
        <v>110</v>
      </c>
      <c r="L67" s="35">
        <f t="shared" ca="1" si="23"/>
        <v>106.5</v>
      </c>
      <c r="M67" s="36">
        <f>VLOOKUP(B67,UTS!$B$5:$M$163,12,FALSE)</f>
        <v>88</v>
      </c>
      <c r="N67" s="37">
        <f>VLOOKUP(B67,UAS!$B$5:$L$163,11,FALSE)</f>
        <v>90.5</v>
      </c>
      <c r="O67" s="38" t="s">
        <v>18</v>
      </c>
      <c r="P67" s="39">
        <v>85</v>
      </c>
      <c r="Q67" s="30">
        <v>26</v>
      </c>
      <c r="R67" s="36">
        <f t="shared" si="24"/>
        <v>96.296296296296291</v>
      </c>
      <c r="S67" s="35">
        <f t="shared" ca="1" si="25"/>
        <v>93.938657407407405</v>
      </c>
      <c r="T67" s="24" t="str">
        <f>VLOOKUP(B67,UAS!$B$5:$M$163,12,FALSE)</f>
        <v>A</v>
      </c>
      <c r="U67" s="40" t="str">
        <f t="shared" ca="1" si="26"/>
        <v>A</v>
      </c>
      <c r="V67" s="41" t="str">
        <f t="shared" si="27"/>
        <v>Nicholas Liem</v>
      </c>
      <c r="W67" s="42">
        <f t="shared" si="28"/>
        <v>13521135</v>
      </c>
      <c r="X67" s="42">
        <f t="shared" si="29"/>
        <v>47</v>
      </c>
      <c r="Y67" s="12"/>
      <c r="Z67" s="2"/>
    </row>
    <row r="68" spans="1:26" ht="15" x14ac:dyDescent="0.25">
      <c r="A68" s="30">
        <v>48</v>
      </c>
      <c r="B68" s="30">
        <v>13521137</v>
      </c>
      <c r="C68" s="31" t="s">
        <v>46</v>
      </c>
      <c r="D68" s="32" t="s">
        <v>7</v>
      </c>
      <c r="E68" s="33">
        <f ca="1">VLOOKUP($B68, Rekap_Tugas!$A$3:$I$161, 4, FALSE)</f>
        <v>99</v>
      </c>
      <c r="F68" s="33">
        <f ca="1">VLOOKUP($B68, Rekap_Tugas!$A$3:$I$161, 5, FALSE)</f>
        <v>113</v>
      </c>
      <c r="G68" s="33">
        <f ca="1">VLOOKUP($B68, Rekap_Tugas!$A$3:$I$161, 6, FALSE)</f>
        <v>110</v>
      </c>
      <c r="H68" s="34">
        <f t="shared" ca="1" si="22"/>
        <v>107.33333333333333</v>
      </c>
      <c r="I68" s="33">
        <f ca="1">VLOOKUP($B68, Rekap_Tugas!$A$3:$I$161, 7, FALSE)</f>
        <v>108</v>
      </c>
      <c r="J68" s="33">
        <f ca="1">VLOOKUP($B68, Rekap_Tugas!$A$3:$I$161, 8, FALSE)</f>
        <v>113</v>
      </c>
      <c r="K68" s="33">
        <f ca="1">VLOOKUP($B68, Rekap_Tugas!$A$3:$I$161, 9, FALSE)</f>
        <v>108.5</v>
      </c>
      <c r="L68" s="35">
        <f t="shared" ca="1" si="23"/>
        <v>109.83333333333333</v>
      </c>
      <c r="M68" s="36">
        <f>VLOOKUP(B68,UTS!$B$5:$M$163,12,FALSE)</f>
        <v>98</v>
      </c>
      <c r="N68" s="37">
        <f>VLOOKUP(B68,UAS!$B$5:$L$163,11,FALSE)</f>
        <v>94</v>
      </c>
      <c r="O68" s="38" t="s">
        <v>17</v>
      </c>
      <c r="P68" s="39">
        <v>80</v>
      </c>
      <c r="Q68" s="30">
        <v>24</v>
      </c>
      <c r="R68" s="36">
        <f t="shared" si="24"/>
        <v>88.888888888888886</v>
      </c>
      <c r="S68" s="35">
        <f t="shared" ca="1" si="25"/>
        <v>98.797222222222217</v>
      </c>
      <c r="T68" s="24" t="str">
        <f>VLOOKUP(B68,UAS!$B$5:$M$163,12,FALSE)</f>
        <v>A</v>
      </c>
      <c r="U68" s="40" t="str">
        <f t="shared" ca="1" si="26"/>
        <v>A</v>
      </c>
      <c r="V68" s="41" t="str">
        <f t="shared" si="27"/>
        <v>Michael Utama</v>
      </c>
      <c r="W68" s="42">
        <f t="shared" si="28"/>
        <v>13521137</v>
      </c>
      <c r="X68" s="42">
        <f t="shared" si="29"/>
        <v>48</v>
      </c>
      <c r="Y68" s="12"/>
      <c r="Z68" s="2"/>
    </row>
    <row r="69" spans="1:26" ht="15" x14ac:dyDescent="0.25">
      <c r="A69" s="30">
        <v>49</v>
      </c>
      <c r="B69" s="30">
        <v>13521139</v>
      </c>
      <c r="C69" s="31" t="s">
        <v>85</v>
      </c>
      <c r="D69" s="32" t="s">
        <v>7</v>
      </c>
      <c r="E69" s="33">
        <f ca="1">VLOOKUP($B69, Rekap_Tugas!$A$3:$I$161, 4, FALSE)</f>
        <v>95.5</v>
      </c>
      <c r="F69" s="33">
        <f ca="1">VLOOKUP($B69, Rekap_Tugas!$A$3:$I$161, 5, FALSE)</f>
        <v>114</v>
      </c>
      <c r="G69" s="33">
        <f ca="1">VLOOKUP($B69, Rekap_Tugas!$A$3:$I$161, 6, FALSE)</f>
        <v>106</v>
      </c>
      <c r="H69" s="34">
        <f t="shared" ca="1" si="22"/>
        <v>105.16666666666667</v>
      </c>
      <c r="I69" s="33">
        <f ca="1">VLOOKUP($B69, Rekap_Tugas!$A$3:$I$161, 7, FALSE)</f>
        <v>102</v>
      </c>
      <c r="J69" s="33">
        <f ca="1">VLOOKUP($B69, Rekap_Tugas!$A$3:$I$161, 8, FALSE)</f>
        <v>115</v>
      </c>
      <c r="K69" s="33">
        <f ca="1">VLOOKUP($B69, Rekap_Tugas!$A$3:$I$161, 9, FALSE)</f>
        <v>110</v>
      </c>
      <c r="L69" s="35">
        <f t="shared" ca="1" si="23"/>
        <v>109</v>
      </c>
      <c r="M69" s="36">
        <f>VLOOKUP(B69,UTS!$B$5:$M$163,12,FALSE)</f>
        <v>73.5</v>
      </c>
      <c r="N69" s="37">
        <f>VLOOKUP(B69,UAS!$B$5:$L$163,11,FALSE)</f>
        <v>96.5</v>
      </c>
      <c r="O69" s="38" t="s">
        <v>44</v>
      </c>
      <c r="P69" s="39">
        <v>90</v>
      </c>
      <c r="Q69" s="30">
        <v>27</v>
      </c>
      <c r="R69" s="36">
        <f t="shared" si="24"/>
        <v>100</v>
      </c>
      <c r="S69" s="35">
        <f t="shared" ca="1" si="25"/>
        <v>92.25</v>
      </c>
      <c r="T69" s="24" t="str">
        <f>VLOOKUP(B69,UAS!$B$5:$M$163,12,FALSE)</f>
        <v>AB</v>
      </c>
      <c r="U69" s="40" t="str">
        <f t="shared" ca="1" si="26"/>
        <v>A</v>
      </c>
      <c r="V69" s="41" t="str">
        <f t="shared" si="27"/>
        <v>Nathania Calista Djunaedi</v>
      </c>
      <c r="W69" s="42">
        <f t="shared" si="28"/>
        <v>13521139</v>
      </c>
      <c r="X69" s="42">
        <f t="shared" si="29"/>
        <v>49</v>
      </c>
      <c r="Y69" s="12"/>
      <c r="Z69" s="2"/>
    </row>
    <row r="70" spans="1:26" ht="15" x14ac:dyDescent="0.25">
      <c r="A70" s="30">
        <v>50</v>
      </c>
      <c r="B70" s="30">
        <v>13521141</v>
      </c>
      <c r="C70" s="31" t="s">
        <v>196</v>
      </c>
      <c r="D70" s="32" t="s">
        <v>7</v>
      </c>
      <c r="E70" s="33">
        <f ca="1">VLOOKUP($B70, Rekap_Tugas!$A$3:$I$161, 4, FALSE)</f>
        <v>84</v>
      </c>
      <c r="F70" s="33">
        <f ca="1">VLOOKUP($B70, Rekap_Tugas!$A$3:$I$161, 5, FALSE)</f>
        <v>74</v>
      </c>
      <c r="G70" s="33">
        <f ca="1">VLOOKUP($B70, Rekap_Tugas!$A$3:$I$161, 6, FALSE)</f>
        <v>24.5</v>
      </c>
      <c r="H70" s="34">
        <f t="shared" ca="1" si="22"/>
        <v>60.833333333333336</v>
      </c>
      <c r="I70" s="33">
        <f ca="1">VLOOKUP($B70, Rekap_Tugas!$A$3:$I$161, 7, FALSE)</f>
        <v>105</v>
      </c>
      <c r="J70" s="33">
        <f ca="1">VLOOKUP($B70, Rekap_Tugas!$A$3:$I$161, 8, FALSE)</f>
        <v>104.5</v>
      </c>
      <c r="K70" s="33">
        <f ca="1">VLOOKUP($B70, Rekap_Tugas!$A$3:$I$161, 9, FALSE)</f>
        <v>103</v>
      </c>
      <c r="L70" s="35">
        <f t="shared" ca="1" si="23"/>
        <v>104.16666666666667</v>
      </c>
      <c r="M70" s="36">
        <f>VLOOKUP(B70,UTS!$B$5:$M$163,12,FALSE)</f>
        <v>65.5</v>
      </c>
      <c r="N70" s="37">
        <f>VLOOKUP(B70,UAS!$B$5:$L$163,11,FALSE)</f>
        <v>68.5</v>
      </c>
      <c r="O70" s="38" t="s">
        <v>59</v>
      </c>
      <c r="P70" s="39">
        <v>80</v>
      </c>
      <c r="Q70" s="30">
        <v>27</v>
      </c>
      <c r="R70" s="36">
        <f t="shared" si="24"/>
        <v>100</v>
      </c>
      <c r="S70" s="35">
        <f t="shared" ca="1" si="25"/>
        <v>73.125</v>
      </c>
      <c r="T70" s="24" t="str">
        <f>VLOOKUP(B70,UAS!$B$5:$M$163,12,FALSE)</f>
        <v>AB</v>
      </c>
      <c r="U70" s="40" t="str">
        <f t="shared" ca="1" si="26"/>
        <v>B</v>
      </c>
      <c r="V70" s="41" t="str">
        <f t="shared" si="27"/>
        <v>Edia Zaki Naufal Ilman</v>
      </c>
      <c r="W70" s="42">
        <f t="shared" si="28"/>
        <v>13521141</v>
      </c>
      <c r="X70" s="42">
        <f t="shared" si="29"/>
        <v>50</v>
      </c>
      <c r="Y70" s="12"/>
      <c r="Z70" s="2"/>
    </row>
    <row r="71" spans="1:26" ht="15" x14ac:dyDescent="0.25">
      <c r="A71" s="30">
        <v>51</v>
      </c>
      <c r="B71" s="30">
        <v>13521143</v>
      </c>
      <c r="C71" s="31" t="s">
        <v>103</v>
      </c>
      <c r="D71" s="32" t="s">
        <v>7</v>
      </c>
      <c r="E71" s="33">
        <f ca="1">VLOOKUP($B71, Rekap_Tugas!$A$3:$I$161, 4, FALSE)</f>
        <v>88.5</v>
      </c>
      <c r="F71" s="33">
        <f ca="1">VLOOKUP($B71, Rekap_Tugas!$A$3:$I$161, 5, FALSE)</f>
        <v>114</v>
      </c>
      <c r="G71" s="33">
        <f ca="1">VLOOKUP($B71, Rekap_Tugas!$A$3:$I$161, 6, FALSE)</f>
        <v>105</v>
      </c>
      <c r="H71" s="34">
        <f t="shared" ca="1" si="22"/>
        <v>102.5</v>
      </c>
      <c r="I71" s="33">
        <f ca="1">VLOOKUP($B71, Rekap_Tugas!$A$3:$I$161, 7, FALSE)</f>
        <v>104</v>
      </c>
      <c r="J71" s="33">
        <f ca="1">VLOOKUP($B71, Rekap_Tugas!$A$3:$I$161, 8, FALSE)</f>
        <v>110</v>
      </c>
      <c r="K71" s="33">
        <f ca="1">VLOOKUP($B71, Rekap_Tugas!$A$3:$I$161, 9, FALSE)</f>
        <v>108</v>
      </c>
      <c r="L71" s="35">
        <f t="shared" ca="1" si="23"/>
        <v>107.33333333333333</v>
      </c>
      <c r="M71" s="36">
        <f>VLOOKUP(B71,UTS!$B$5:$M$163,12,FALSE)</f>
        <v>87</v>
      </c>
      <c r="N71" s="37">
        <f>VLOOKUP(B71,UAS!$B$5:$L$163,11,FALSE)</f>
        <v>80</v>
      </c>
      <c r="O71" s="38" t="s">
        <v>15</v>
      </c>
      <c r="P71" s="39">
        <v>75</v>
      </c>
      <c r="Q71" s="30">
        <v>25</v>
      </c>
      <c r="R71" s="36">
        <f t="shared" si="24"/>
        <v>92.592592592592595</v>
      </c>
      <c r="S71" s="35">
        <f t="shared" ca="1" si="25"/>
        <v>89.727314814814804</v>
      </c>
      <c r="T71" s="24">
        <f>VLOOKUP(B71,UAS!$B$5:$M$163,12,FALSE)</f>
        <v>0</v>
      </c>
      <c r="U71" s="40" t="str">
        <f t="shared" ca="1" si="26"/>
        <v>A</v>
      </c>
      <c r="V71" s="41" t="str">
        <f t="shared" si="27"/>
        <v>Raynard Tanadi</v>
      </c>
      <c r="W71" s="42">
        <f t="shared" si="28"/>
        <v>13521143</v>
      </c>
      <c r="X71" s="42">
        <f t="shared" si="29"/>
        <v>51</v>
      </c>
      <c r="Y71" s="12"/>
      <c r="Z71" s="2"/>
    </row>
    <row r="72" spans="1:26" ht="15" x14ac:dyDescent="0.25">
      <c r="A72" s="30">
        <v>52</v>
      </c>
      <c r="B72" s="30">
        <v>13521145</v>
      </c>
      <c r="C72" s="31" t="s">
        <v>144</v>
      </c>
      <c r="D72" s="32" t="s">
        <v>7</v>
      </c>
      <c r="E72" s="33">
        <f ca="1">VLOOKUP($B72, Rekap_Tugas!$A$3:$I$161, 4, FALSE)</f>
        <v>89.5</v>
      </c>
      <c r="F72" s="33">
        <f ca="1">VLOOKUP($B72, Rekap_Tugas!$A$3:$I$161, 5, FALSE)</f>
        <v>115</v>
      </c>
      <c r="G72" s="33">
        <f ca="1">VLOOKUP($B72, Rekap_Tugas!$A$3:$I$161, 6, FALSE)</f>
        <v>105</v>
      </c>
      <c r="H72" s="34">
        <f t="shared" ca="1" si="22"/>
        <v>103.16666666666667</v>
      </c>
      <c r="I72" s="33">
        <f ca="1">VLOOKUP($B72, Rekap_Tugas!$A$3:$I$161, 7, FALSE)</f>
        <v>104</v>
      </c>
      <c r="J72" s="33">
        <f ca="1">VLOOKUP($B72, Rekap_Tugas!$A$3:$I$161, 8, FALSE)</f>
        <v>107</v>
      </c>
      <c r="K72" s="33">
        <f ca="1">VLOOKUP($B72, Rekap_Tugas!$A$3:$I$161, 9, FALSE)</f>
        <v>102.5</v>
      </c>
      <c r="L72" s="35">
        <f t="shared" ca="1" si="23"/>
        <v>104.5</v>
      </c>
      <c r="M72" s="36">
        <f>VLOOKUP(B72,UTS!$B$5:$M$163,12,FALSE)</f>
        <v>74</v>
      </c>
      <c r="N72" s="37">
        <f>VLOOKUP(B72,UAS!$B$5:$L$163,11,FALSE)</f>
        <v>74.5</v>
      </c>
      <c r="O72" s="38" t="s">
        <v>17</v>
      </c>
      <c r="P72" s="39">
        <v>80</v>
      </c>
      <c r="Q72" s="30">
        <v>25</v>
      </c>
      <c r="R72" s="36">
        <f t="shared" si="24"/>
        <v>92.592592592592595</v>
      </c>
      <c r="S72" s="35">
        <f t="shared" ca="1" si="25"/>
        <v>83.871064814814815</v>
      </c>
      <c r="T72" s="24" t="str">
        <f>VLOOKUP(B72,UAS!$B$5:$M$163,12,FALSE)</f>
        <v>AB</v>
      </c>
      <c r="U72" s="40" t="str">
        <f t="shared" ca="1" si="26"/>
        <v>AB</v>
      </c>
      <c r="V72" s="41" t="str">
        <f t="shared" si="27"/>
        <v>Kenneth Dave Bahana</v>
      </c>
      <c r="W72" s="42">
        <f t="shared" si="28"/>
        <v>13521145</v>
      </c>
      <c r="X72" s="42">
        <f t="shared" si="29"/>
        <v>52</v>
      </c>
      <c r="Y72" s="12"/>
      <c r="Z72" s="2"/>
    </row>
    <row r="73" spans="1:26" ht="15" x14ac:dyDescent="0.25">
      <c r="A73" s="30">
        <v>53</v>
      </c>
      <c r="B73" s="30">
        <v>13521149</v>
      </c>
      <c r="C73" s="31" t="s">
        <v>61</v>
      </c>
      <c r="D73" s="32" t="s">
        <v>7</v>
      </c>
      <c r="E73" s="33">
        <f ca="1">VLOOKUP($B73, Rekap_Tugas!$A$3:$I$161, 4, FALSE)</f>
        <v>92.5</v>
      </c>
      <c r="F73" s="33">
        <f ca="1">VLOOKUP($B73, Rekap_Tugas!$A$3:$I$161, 5, FALSE)</f>
        <v>115</v>
      </c>
      <c r="G73" s="33">
        <f ca="1">VLOOKUP($B73, Rekap_Tugas!$A$3:$I$161, 6, FALSE)</f>
        <v>99</v>
      </c>
      <c r="H73" s="34">
        <f t="shared" ca="1" si="22"/>
        <v>102.16666666666667</v>
      </c>
      <c r="I73" s="33">
        <f ca="1">VLOOKUP($B73, Rekap_Tugas!$A$3:$I$161, 7, FALSE)</f>
        <v>106</v>
      </c>
      <c r="J73" s="33">
        <f ca="1">VLOOKUP($B73, Rekap_Tugas!$A$3:$I$161, 8, FALSE)</f>
        <v>102.5</v>
      </c>
      <c r="K73" s="33">
        <f ca="1">VLOOKUP($B73, Rekap_Tugas!$A$3:$I$161, 9, FALSE)</f>
        <v>97</v>
      </c>
      <c r="L73" s="35">
        <f t="shared" ca="1" si="23"/>
        <v>101.83333333333333</v>
      </c>
      <c r="M73" s="36">
        <f>VLOOKUP(B73,UTS!$B$5:$M$163,12,FALSE)</f>
        <v>90</v>
      </c>
      <c r="N73" s="37">
        <f>VLOOKUP(B73,UAS!$B$5:$L$163,11,FALSE)</f>
        <v>98</v>
      </c>
      <c r="O73" s="38" t="s">
        <v>18</v>
      </c>
      <c r="P73" s="39">
        <v>85</v>
      </c>
      <c r="Q73" s="30">
        <v>26</v>
      </c>
      <c r="R73" s="36">
        <f t="shared" si="24"/>
        <v>96.296296296296291</v>
      </c>
      <c r="S73" s="35">
        <f t="shared" ca="1" si="25"/>
        <v>96.007407407407399</v>
      </c>
      <c r="T73" s="24" t="str">
        <f>VLOOKUP(B73,UAS!$B$5:$M$163,12,FALSE)</f>
        <v xml:space="preserve">A </v>
      </c>
      <c r="U73" s="40" t="str">
        <f t="shared" ca="1" si="26"/>
        <v>A</v>
      </c>
      <c r="V73" s="41" t="str">
        <f t="shared" si="27"/>
        <v>Rava Maulana Azzikri</v>
      </c>
      <c r="W73" s="42">
        <f t="shared" si="28"/>
        <v>13521149</v>
      </c>
      <c r="X73" s="42">
        <f t="shared" si="29"/>
        <v>53</v>
      </c>
      <c r="Y73" s="12"/>
      <c r="Z73" s="2"/>
    </row>
    <row r="74" spans="1:26" ht="15" x14ac:dyDescent="0.25">
      <c r="A74" s="30">
        <v>54</v>
      </c>
      <c r="B74" s="30">
        <v>13521151</v>
      </c>
      <c r="C74" s="31" t="s">
        <v>183</v>
      </c>
      <c r="D74" s="32" t="s">
        <v>7</v>
      </c>
      <c r="E74" s="45">
        <v>66</v>
      </c>
      <c r="F74" s="33">
        <f ca="1">VLOOKUP($B74, Rekap_Tugas!$A$3:$I$161, 5, FALSE)</f>
        <v>114</v>
      </c>
      <c r="G74" s="33">
        <f ca="1">VLOOKUP($B74, Rekap_Tugas!$A$3:$I$161, 6, FALSE)</f>
        <v>100</v>
      </c>
      <c r="H74" s="34">
        <f t="shared" ca="1" si="22"/>
        <v>93.333333333333329</v>
      </c>
      <c r="I74" s="33">
        <f ca="1">VLOOKUP($B74, Rekap_Tugas!$A$3:$I$161, 7, FALSE)</f>
        <v>106</v>
      </c>
      <c r="J74" s="33">
        <f ca="1">VLOOKUP($B74, Rekap_Tugas!$A$3:$I$161, 8, FALSE)</f>
        <v>108</v>
      </c>
      <c r="K74" s="33">
        <f ca="1">VLOOKUP($B74, Rekap_Tugas!$A$3:$I$161, 9, FALSE)</f>
        <v>110</v>
      </c>
      <c r="L74" s="35">
        <f t="shared" ca="1" si="23"/>
        <v>108</v>
      </c>
      <c r="M74" s="36">
        <f>VLOOKUP(B74,UTS!$B$5:$M$163,12,FALSE)</f>
        <v>45.5</v>
      </c>
      <c r="N74" s="37">
        <f>VLOOKUP(B74,UAS!$B$5:$L$163,11,FALSE)</f>
        <v>82</v>
      </c>
      <c r="O74" s="38" t="s">
        <v>44</v>
      </c>
      <c r="P74" s="39">
        <v>90</v>
      </c>
      <c r="Q74" s="30">
        <v>27</v>
      </c>
      <c r="R74" s="36">
        <f t="shared" si="24"/>
        <v>100</v>
      </c>
      <c r="S74" s="35">
        <f t="shared" ca="1" si="25"/>
        <v>77.043749999999989</v>
      </c>
      <c r="T74" s="24" t="str">
        <f>VLOOKUP(B74,UAS!$B$5:$M$163,12,FALSE)</f>
        <v>AB</v>
      </c>
      <c r="U74" s="40" t="str">
        <f t="shared" ca="1" si="26"/>
        <v>AB</v>
      </c>
      <c r="V74" s="41" t="str">
        <f t="shared" si="27"/>
        <v>Vanessa Rebecca Wiyono</v>
      </c>
      <c r="W74" s="42">
        <f t="shared" si="28"/>
        <v>13521151</v>
      </c>
      <c r="X74" s="42">
        <f t="shared" si="29"/>
        <v>54</v>
      </c>
      <c r="Y74" s="12"/>
      <c r="Z74" s="2"/>
    </row>
    <row r="75" spans="1:26" ht="15" x14ac:dyDescent="0.25">
      <c r="A75" s="30">
        <v>55</v>
      </c>
      <c r="B75" s="30">
        <v>13521153</v>
      </c>
      <c r="C75" s="31" t="s">
        <v>45</v>
      </c>
      <c r="D75" s="32" t="s">
        <v>7</v>
      </c>
      <c r="E75" s="33">
        <f ca="1">VLOOKUP($B75, Rekap_Tugas!$A$3:$I$161, 4, FALSE)</f>
        <v>101</v>
      </c>
      <c r="F75" s="33">
        <f ca="1">VLOOKUP($B75, Rekap_Tugas!$A$3:$I$161, 5, FALSE)</f>
        <v>115</v>
      </c>
      <c r="G75" s="33">
        <f ca="1">VLOOKUP($B75, Rekap_Tugas!$A$3:$I$161, 6, FALSE)</f>
        <v>102</v>
      </c>
      <c r="H75" s="34">
        <f t="shared" ca="1" si="22"/>
        <v>106</v>
      </c>
      <c r="I75" s="33">
        <f ca="1">VLOOKUP($B75, Rekap_Tugas!$A$3:$I$161, 7, FALSE)</f>
        <v>107</v>
      </c>
      <c r="J75" s="33">
        <f ca="1">VLOOKUP($B75, Rekap_Tugas!$A$3:$I$161, 8, FALSE)</f>
        <v>112</v>
      </c>
      <c r="K75" s="33">
        <f ca="1">VLOOKUP($B75, Rekap_Tugas!$A$3:$I$161, 9, FALSE)</f>
        <v>110</v>
      </c>
      <c r="L75" s="35">
        <f t="shared" ca="1" si="23"/>
        <v>109.66666666666667</v>
      </c>
      <c r="M75" s="36">
        <f>VLOOKUP(B75,UTS!$B$5:$M$163,12,FALSE)</f>
        <v>91</v>
      </c>
      <c r="N75" s="37">
        <f>VLOOKUP(B75,UAS!$B$5:$L$163,11,FALSE)</f>
        <v>101.5</v>
      </c>
      <c r="O75" s="38" t="s">
        <v>44</v>
      </c>
      <c r="P75" s="39">
        <v>90</v>
      </c>
      <c r="Q75" s="30">
        <v>27</v>
      </c>
      <c r="R75" s="36">
        <f t="shared" si="24"/>
        <v>100</v>
      </c>
      <c r="S75" s="35">
        <f t="shared" ca="1" si="25"/>
        <v>99.506249999999994</v>
      </c>
      <c r="T75" s="24" t="str">
        <f>VLOOKUP(B75,UAS!$B$5:$M$163,12,FALSE)</f>
        <v>AB</v>
      </c>
      <c r="U75" s="40" t="str">
        <f t="shared" ca="1" si="26"/>
        <v>A</v>
      </c>
      <c r="V75" s="41" t="str">
        <f t="shared" si="27"/>
        <v>Made Debby Almadea Putri</v>
      </c>
      <c r="W75" s="42">
        <f t="shared" si="28"/>
        <v>13521153</v>
      </c>
      <c r="X75" s="42">
        <f t="shared" si="29"/>
        <v>55</v>
      </c>
      <c r="Y75" s="12"/>
      <c r="Z75" s="2"/>
    </row>
    <row r="76" spans="1:26" ht="15" x14ac:dyDescent="0.25">
      <c r="A76" s="30">
        <v>56</v>
      </c>
      <c r="B76" s="30">
        <v>13521155</v>
      </c>
      <c r="C76" s="31" t="s">
        <v>116</v>
      </c>
      <c r="D76" s="32" t="s">
        <v>7</v>
      </c>
      <c r="E76" s="33">
        <f ca="1">VLOOKUP($B76, Rekap_Tugas!$A$3:$I$161, 4, FALSE)</f>
        <v>93.5</v>
      </c>
      <c r="F76" s="33">
        <f ca="1">VLOOKUP($B76, Rekap_Tugas!$A$3:$I$161, 5, FALSE)</f>
        <v>114</v>
      </c>
      <c r="G76" s="33">
        <f ca="1">VLOOKUP($B76, Rekap_Tugas!$A$3:$I$161, 6, FALSE)</f>
        <v>102</v>
      </c>
      <c r="H76" s="34">
        <f t="shared" ca="1" si="22"/>
        <v>103.16666666666667</v>
      </c>
      <c r="I76" s="33">
        <f ca="1">VLOOKUP($B76, Rekap_Tugas!$A$3:$I$161, 7, FALSE)</f>
        <v>100</v>
      </c>
      <c r="J76" s="33">
        <f ca="1">VLOOKUP($B76, Rekap_Tugas!$A$3:$I$161, 8, FALSE)</f>
        <v>114</v>
      </c>
      <c r="K76" s="33">
        <f ca="1">VLOOKUP($B76, Rekap_Tugas!$A$3:$I$161, 9, FALSE)</f>
        <v>106.5</v>
      </c>
      <c r="L76" s="35">
        <f t="shared" ca="1" si="23"/>
        <v>106.83333333333333</v>
      </c>
      <c r="M76" s="36">
        <f>VLOOKUP(B76,UTS!$B$5:$M$163,12,FALSE)</f>
        <v>79.5</v>
      </c>
      <c r="N76" s="37">
        <f>VLOOKUP(B76,UAS!$B$5:$L$163,11,FALSE)</f>
        <v>80.5</v>
      </c>
      <c r="O76" s="38" t="s">
        <v>117</v>
      </c>
      <c r="P76" s="39">
        <v>80</v>
      </c>
      <c r="Q76" s="30">
        <v>25</v>
      </c>
      <c r="R76" s="36">
        <f t="shared" si="24"/>
        <v>92.592592592592595</v>
      </c>
      <c r="S76" s="35">
        <f t="shared" ca="1" si="25"/>
        <v>87.81481481481481</v>
      </c>
      <c r="T76" s="24" t="str">
        <f>VLOOKUP(B76,UAS!$B$5:$M$163,12,FALSE)</f>
        <v>AB</v>
      </c>
      <c r="U76" s="40" t="str">
        <f t="shared" ca="1" si="26"/>
        <v>A</v>
      </c>
      <c r="V76" s="41" t="str">
        <f t="shared" si="27"/>
        <v>Kandida Edgina Gunawan</v>
      </c>
      <c r="W76" s="42">
        <f t="shared" si="28"/>
        <v>13521155</v>
      </c>
      <c r="X76" s="42">
        <f t="shared" si="29"/>
        <v>56</v>
      </c>
      <c r="Y76" s="12"/>
      <c r="Z76" s="2"/>
    </row>
    <row r="77" spans="1:26" ht="15" x14ac:dyDescent="0.25">
      <c r="A77" s="30">
        <v>57</v>
      </c>
      <c r="B77" s="30">
        <v>13521157</v>
      </c>
      <c r="C77" s="31" t="s">
        <v>160</v>
      </c>
      <c r="D77" s="32" t="s">
        <v>7</v>
      </c>
      <c r="E77" s="33">
        <f ca="1">VLOOKUP($B77, Rekap_Tugas!$A$3:$I$161, 4, FALSE)</f>
        <v>91.5</v>
      </c>
      <c r="F77" s="33">
        <f ca="1">VLOOKUP($B77, Rekap_Tugas!$A$3:$I$161, 5, FALSE)</f>
        <v>115</v>
      </c>
      <c r="G77" s="33">
        <f ca="1">VLOOKUP($B77, Rekap_Tugas!$A$3:$I$161, 6, FALSE)</f>
        <v>110</v>
      </c>
      <c r="H77" s="34">
        <f t="shared" ca="1" si="22"/>
        <v>105.5</v>
      </c>
      <c r="I77" s="33">
        <f ca="1">VLOOKUP($B77, Rekap_Tugas!$A$3:$I$161, 7, FALSE)</f>
        <v>99</v>
      </c>
      <c r="J77" s="33">
        <f ca="1">VLOOKUP($B77, Rekap_Tugas!$A$3:$I$161, 8, FALSE)</f>
        <v>102</v>
      </c>
      <c r="K77" s="33">
        <f ca="1">VLOOKUP($B77, Rekap_Tugas!$A$3:$I$161, 9, FALSE)</f>
        <v>101</v>
      </c>
      <c r="L77" s="35">
        <f t="shared" ca="1" si="23"/>
        <v>100.66666666666667</v>
      </c>
      <c r="M77" s="36">
        <f>VLOOKUP(B77,UTS!$B$5:$M$163,12,FALSE)</f>
        <v>89.5</v>
      </c>
      <c r="N77" s="37">
        <f>VLOOKUP(B77,UAS!$B$5:$L$163,11,FALSE)</f>
        <v>68.5</v>
      </c>
      <c r="O77" s="38"/>
      <c r="P77" s="39"/>
      <c r="Q77" s="30">
        <v>22</v>
      </c>
      <c r="R77" s="36">
        <f t="shared" si="24"/>
        <v>81.481481481481481</v>
      </c>
      <c r="S77" s="35">
        <f t="shared" ca="1" si="25"/>
        <v>82.337037037037035</v>
      </c>
      <c r="T77" s="24" t="str">
        <f>VLOOKUP(B77,UAS!$B$5:$M$163,12,FALSE)</f>
        <v>A</v>
      </c>
      <c r="U77" s="40" t="str">
        <f t="shared" ca="1" si="26"/>
        <v>AB</v>
      </c>
      <c r="V77" s="41" t="str">
        <f t="shared" si="27"/>
        <v>Hanif Muhammad Zhafran</v>
      </c>
      <c r="W77" s="42">
        <f t="shared" si="28"/>
        <v>13521157</v>
      </c>
      <c r="X77" s="42">
        <f t="shared" si="29"/>
        <v>57</v>
      </c>
      <c r="Y77" s="12"/>
      <c r="Z77" s="2"/>
    </row>
    <row r="78" spans="1:26" ht="15" x14ac:dyDescent="0.25">
      <c r="A78" s="30">
        <v>58</v>
      </c>
      <c r="B78" s="30">
        <v>13521159</v>
      </c>
      <c r="C78" s="31" t="s">
        <v>98</v>
      </c>
      <c r="D78" s="32" t="s">
        <v>7</v>
      </c>
      <c r="E78" s="33">
        <f ca="1">VLOOKUP($B78, Rekap_Tugas!$A$3:$I$161, 4, FALSE)</f>
        <v>95</v>
      </c>
      <c r="F78" s="33">
        <f ca="1">VLOOKUP($B78, Rekap_Tugas!$A$3:$I$161, 5, FALSE)</f>
        <v>114</v>
      </c>
      <c r="G78" s="33">
        <f ca="1">VLOOKUP($B78, Rekap_Tugas!$A$3:$I$161, 6, FALSE)</f>
        <v>102</v>
      </c>
      <c r="H78" s="34">
        <f t="shared" ca="1" si="22"/>
        <v>103.66666666666667</v>
      </c>
      <c r="I78" s="33">
        <f ca="1">VLOOKUP($B78, Rekap_Tugas!$A$3:$I$161, 7, FALSE)</f>
        <v>103</v>
      </c>
      <c r="J78" s="33">
        <f ca="1">VLOOKUP($B78, Rekap_Tugas!$A$3:$I$161, 8, FALSE)</f>
        <v>94</v>
      </c>
      <c r="K78" s="33">
        <f ca="1">VLOOKUP($B78, Rekap_Tugas!$A$3:$I$161, 9, FALSE)</f>
        <v>89.5</v>
      </c>
      <c r="L78" s="35">
        <f t="shared" ca="1" si="23"/>
        <v>95.5</v>
      </c>
      <c r="M78" s="36">
        <f>VLOOKUP(B78,UTS!$B$5:$M$163,12,FALSE)</f>
        <v>87.5</v>
      </c>
      <c r="N78" s="37">
        <f>VLOOKUP(B78,UAS!$B$5:$L$163,11,FALSE)</f>
        <v>83.5</v>
      </c>
      <c r="O78" s="38" t="s">
        <v>99</v>
      </c>
      <c r="P78" s="39">
        <v>85</v>
      </c>
      <c r="Q78" s="30">
        <v>27</v>
      </c>
      <c r="R78" s="36">
        <f t="shared" si="24"/>
        <v>100</v>
      </c>
      <c r="S78" s="35">
        <f t="shared" ca="1" si="25"/>
        <v>90.0625</v>
      </c>
      <c r="T78" s="24" t="str">
        <f>VLOOKUP(B78,UAS!$B$5:$M$163,12,FALSE)</f>
        <v>A</v>
      </c>
      <c r="U78" s="40" t="str">
        <f t="shared" ca="1" si="26"/>
        <v>A</v>
      </c>
      <c r="V78" s="41" t="str">
        <f t="shared" si="27"/>
        <v>Sulthan Dzaky Alfaro</v>
      </c>
      <c r="W78" s="42">
        <f t="shared" si="28"/>
        <v>13521159</v>
      </c>
      <c r="X78" s="42">
        <f t="shared" si="29"/>
        <v>58</v>
      </c>
      <c r="Y78" s="12"/>
      <c r="Z78" s="2"/>
    </row>
    <row r="79" spans="1:26" ht="15" x14ac:dyDescent="0.25">
      <c r="A79" s="30">
        <v>59</v>
      </c>
      <c r="B79" s="30">
        <v>13521161</v>
      </c>
      <c r="C79" s="31" t="s">
        <v>199</v>
      </c>
      <c r="D79" s="32" t="s">
        <v>7</v>
      </c>
      <c r="E79" s="33">
        <f ca="1">VLOOKUP($B79, Rekap_Tugas!$A$3:$I$161, 4, FALSE)</f>
        <v>89</v>
      </c>
      <c r="F79" s="33">
        <f ca="1">VLOOKUP($B79, Rekap_Tugas!$A$3:$I$161, 5, FALSE)</f>
        <v>105.5</v>
      </c>
      <c r="G79" s="33">
        <f ca="1">VLOOKUP($B79, Rekap_Tugas!$A$3:$I$161, 6, FALSE)</f>
        <v>99</v>
      </c>
      <c r="H79" s="34">
        <f t="shared" ca="1" si="22"/>
        <v>97.833333333333329</v>
      </c>
      <c r="I79" s="33">
        <f ca="1">VLOOKUP($B79, Rekap_Tugas!$A$3:$I$161, 7, FALSE)</f>
        <v>99</v>
      </c>
      <c r="J79" s="33">
        <f ca="1">VLOOKUP($B79, Rekap_Tugas!$A$3:$I$161, 8, FALSE)</f>
        <v>96.5</v>
      </c>
      <c r="K79" s="33">
        <f ca="1">VLOOKUP($B79, Rekap_Tugas!$A$3:$I$161, 9, FALSE)</f>
        <v>84</v>
      </c>
      <c r="L79" s="35">
        <f t="shared" ca="1" si="23"/>
        <v>93.166666666666671</v>
      </c>
      <c r="M79" s="36">
        <f>VLOOKUP(B79,UTS!$B$5:$M$163,12,FALSE)</f>
        <v>50</v>
      </c>
      <c r="N79" s="37">
        <f>VLOOKUP(B79,UAS!$B$5:$L$163,11,FALSE)</f>
        <v>65.5</v>
      </c>
      <c r="O79" s="38" t="s">
        <v>44</v>
      </c>
      <c r="P79" s="39">
        <v>90</v>
      </c>
      <c r="Q79" s="30">
        <v>26</v>
      </c>
      <c r="R79" s="36">
        <f t="shared" si="24"/>
        <v>96.296296296296291</v>
      </c>
      <c r="S79" s="35">
        <f t="shared" ca="1" si="25"/>
        <v>71.65115740740741</v>
      </c>
      <c r="T79" s="24" t="str">
        <f>VLOOKUP(B79,UAS!$B$5:$M$163,12,FALSE)</f>
        <v>B</v>
      </c>
      <c r="U79" s="40" t="str">
        <f t="shared" ca="1" si="26"/>
        <v>B</v>
      </c>
      <c r="V79" s="41" t="str">
        <f t="shared" si="27"/>
        <v>Ferindya Aulia Berlianty</v>
      </c>
      <c r="W79" s="42">
        <f t="shared" si="28"/>
        <v>13521161</v>
      </c>
      <c r="X79" s="42">
        <f t="shared" si="29"/>
        <v>59</v>
      </c>
      <c r="Y79" s="12"/>
      <c r="Z79" s="2"/>
    </row>
    <row r="80" spans="1:26" ht="15" x14ac:dyDescent="0.25">
      <c r="A80" s="30">
        <v>60</v>
      </c>
      <c r="B80" s="30">
        <v>13521163</v>
      </c>
      <c r="C80" s="31" t="s">
        <v>124</v>
      </c>
      <c r="D80" s="32" t="s">
        <v>7</v>
      </c>
      <c r="E80" s="33">
        <f ca="1">VLOOKUP($B80, Rekap_Tugas!$A$3:$I$161, 4, FALSE)</f>
        <v>97</v>
      </c>
      <c r="F80" s="33">
        <f ca="1">VLOOKUP($B80, Rekap_Tugas!$A$3:$I$161, 5, FALSE)</f>
        <v>97.5</v>
      </c>
      <c r="G80" s="33">
        <f ca="1">VLOOKUP($B80, Rekap_Tugas!$A$3:$I$161, 6, FALSE)</f>
        <v>105</v>
      </c>
      <c r="H80" s="34">
        <f t="shared" ca="1" si="22"/>
        <v>99.833333333333329</v>
      </c>
      <c r="I80" s="33">
        <f ca="1">VLOOKUP($B80, Rekap_Tugas!$A$3:$I$161, 7, FALSE)</f>
        <v>105</v>
      </c>
      <c r="J80" s="33">
        <f ca="1">VLOOKUP($B80, Rekap_Tugas!$A$3:$I$161, 8, FALSE)</f>
        <v>101.5</v>
      </c>
      <c r="K80" s="33">
        <f ca="1">VLOOKUP($B80, Rekap_Tugas!$A$3:$I$161, 9, FALSE)</f>
        <v>106</v>
      </c>
      <c r="L80" s="35">
        <f t="shared" ca="1" si="23"/>
        <v>104.16666666666667</v>
      </c>
      <c r="M80" s="36">
        <f>VLOOKUP(B80,UTS!$B$5:$M$163,12,FALSE)</f>
        <v>85.5</v>
      </c>
      <c r="N80" s="37">
        <f>VLOOKUP(B80,UAS!$B$5:$L$163,11,FALSE)</f>
        <v>75</v>
      </c>
      <c r="O80" s="38" t="s">
        <v>17</v>
      </c>
      <c r="P80" s="39">
        <v>80</v>
      </c>
      <c r="Q80" s="30">
        <v>26</v>
      </c>
      <c r="R80" s="36">
        <f t="shared" si="24"/>
        <v>96.296296296296291</v>
      </c>
      <c r="S80" s="35">
        <f t="shared" ca="1" si="25"/>
        <v>87.163657407407399</v>
      </c>
      <c r="T80" s="24">
        <f>VLOOKUP(B80,UAS!$B$5:$M$163,12,FALSE)</f>
        <v>0</v>
      </c>
      <c r="U80" s="40" t="str">
        <f t="shared" ca="1" si="26"/>
        <v>A</v>
      </c>
      <c r="V80" s="41" t="str">
        <f t="shared" si="27"/>
        <v>Zidane Firzatullah</v>
      </c>
      <c r="W80" s="42">
        <f t="shared" si="28"/>
        <v>13521163</v>
      </c>
      <c r="X80" s="42">
        <f t="shared" si="29"/>
        <v>60</v>
      </c>
      <c r="Y80" s="12"/>
      <c r="Z80" s="2"/>
    </row>
    <row r="81" spans="1:26" ht="15" x14ac:dyDescent="0.25">
      <c r="A81" s="30">
        <v>61</v>
      </c>
      <c r="B81" s="30">
        <v>13521165</v>
      </c>
      <c r="C81" s="31" t="s">
        <v>164</v>
      </c>
      <c r="D81" s="32" t="s">
        <v>7</v>
      </c>
      <c r="E81" s="33">
        <f ca="1">VLOOKUP($B81, Rekap_Tugas!$A$3:$I$161, 4, FALSE)</f>
        <v>82</v>
      </c>
      <c r="F81" s="33">
        <f ca="1">VLOOKUP($B81, Rekap_Tugas!$A$3:$I$161, 5, FALSE)</f>
        <v>112</v>
      </c>
      <c r="G81" s="33">
        <f ca="1">VLOOKUP($B81, Rekap_Tugas!$A$3:$I$161, 6, FALSE)</f>
        <v>110</v>
      </c>
      <c r="H81" s="34">
        <f t="shared" ca="1" si="22"/>
        <v>101.33333333333333</v>
      </c>
      <c r="I81" s="33">
        <f ca="1">VLOOKUP($B81, Rekap_Tugas!$A$3:$I$161, 7, FALSE)</f>
        <v>104</v>
      </c>
      <c r="J81" s="33">
        <f ca="1">VLOOKUP($B81, Rekap_Tugas!$A$3:$I$161, 8, FALSE)</f>
        <v>103</v>
      </c>
      <c r="K81" s="33">
        <f ca="1">VLOOKUP($B81, Rekap_Tugas!$A$3:$I$161, 9, FALSE)</f>
        <v>78</v>
      </c>
      <c r="L81" s="35">
        <f t="shared" ca="1" si="23"/>
        <v>95</v>
      </c>
      <c r="M81" s="36">
        <f>VLOOKUP(B81,UTS!$B$5:$M$163,12,FALSE)</f>
        <v>68</v>
      </c>
      <c r="N81" s="37">
        <f>VLOOKUP(B81,UAS!$B$5:$L$163,11,FALSE)</f>
        <v>78.5</v>
      </c>
      <c r="O81" s="38" t="s">
        <v>15</v>
      </c>
      <c r="P81" s="39">
        <v>75</v>
      </c>
      <c r="Q81" s="30">
        <v>24</v>
      </c>
      <c r="R81" s="36">
        <f t="shared" si="24"/>
        <v>88.888888888888886</v>
      </c>
      <c r="S81" s="35">
        <f t="shared" ca="1" si="25"/>
        <v>81.203472222222231</v>
      </c>
      <c r="T81" s="24" t="str">
        <f>VLOOKUP(B81,UAS!$B$5:$M$163,12,FALSE)</f>
        <v>AB</v>
      </c>
      <c r="U81" s="40" t="str">
        <f t="shared" ca="1" si="26"/>
        <v>AB</v>
      </c>
      <c r="V81" s="41" t="str">
        <f t="shared" si="27"/>
        <v>Reza Pahlevi Ubaidillah</v>
      </c>
      <c r="W81" s="42">
        <f t="shared" si="28"/>
        <v>13521165</v>
      </c>
      <c r="X81" s="42">
        <f t="shared" si="29"/>
        <v>61</v>
      </c>
      <c r="Y81" s="12"/>
      <c r="Z81" s="2"/>
    </row>
    <row r="82" spans="1:26" ht="15" x14ac:dyDescent="0.25">
      <c r="A82" s="30">
        <v>62</v>
      </c>
      <c r="B82" s="30">
        <v>13521167</v>
      </c>
      <c r="C82" s="31" t="s">
        <v>208</v>
      </c>
      <c r="D82" s="32" t="s">
        <v>7</v>
      </c>
      <c r="E82" s="33">
        <f ca="1">VLOOKUP($B82, Rekap_Tugas!$A$3:$I$161, 4, FALSE)</f>
        <v>72</v>
      </c>
      <c r="F82" s="33">
        <f ca="1">VLOOKUP($B82, Rekap_Tugas!$A$3:$I$161, 5, FALSE)</f>
        <v>71</v>
      </c>
      <c r="G82" s="33">
        <f ca="1">VLOOKUP($B82, Rekap_Tugas!$A$3:$I$161, 6, FALSE)</f>
        <v>104</v>
      </c>
      <c r="H82" s="34">
        <f t="shared" ca="1" si="22"/>
        <v>82.333333333333329</v>
      </c>
      <c r="I82" s="33">
        <f ca="1">VLOOKUP($B82, Rekap_Tugas!$A$3:$I$161, 7, FALSE)</f>
        <v>53</v>
      </c>
      <c r="J82" s="33">
        <f ca="1">VLOOKUP($B82, Rekap_Tugas!$A$3:$I$161, 8, FALSE)</f>
        <v>96.5</v>
      </c>
      <c r="K82" s="33">
        <f ca="1">VLOOKUP($B82, Rekap_Tugas!$A$3:$I$161, 9, FALSE)</f>
        <v>50</v>
      </c>
      <c r="L82" s="35">
        <f t="shared" ca="1" si="23"/>
        <v>66.5</v>
      </c>
      <c r="M82" s="36">
        <f>VLOOKUP(B82,UTS!$B$5:$M$163,12,FALSE)</f>
        <v>20.5</v>
      </c>
      <c r="N82" s="37">
        <f>VLOOKUP(B82,UAS!$B$5:$L$163,11,FALSE)</f>
        <v>30</v>
      </c>
      <c r="O82" s="38" t="s">
        <v>17</v>
      </c>
      <c r="P82" s="39">
        <v>80</v>
      </c>
      <c r="Q82" s="30">
        <v>21</v>
      </c>
      <c r="R82" s="36">
        <f t="shared" si="24"/>
        <v>77.777777777777786</v>
      </c>
      <c r="S82" s="35">
        <f t="shared" ca="1" si="25"/>
        <v>44.050694444444446</v>
      </c>
      <c r="T82" s="24" t="str">
        <f>VLOOKUP(B82,UAS!$B$5:$M$163,12,FALSE)</f>
        <v>C</v>
      </c>
      <c r="U82" s="40" t="str">
        <f t="shared" ca="1" si="26"/>
        <v>D</v>
      </c>
      <c r="V82" s="41" t="str">
        <f t="shared" si="27"/>
        <v>Irgiansyah Mondo</v>
      </c>
      <c r="W82" s="42">
        <f t="shared" si="28"/>
        <v>13521167</v>
      </c>
      <c r="X82" s="42">
        <f t="shared" si="29"/>
        <v>62</v>
      </c>
      <c r="Y82" s="12"/>
      <c r="Z82" s="2"/>
    </row>
    <row r="83" spans="1:26" ht="15" x14ac:dyDescent="0.25">
      <c r="A83" s="30">
        <v>63</v>
      </c>
      <c r="B83" s="30">
        <v>13521169</v>
      </c>
      <c r="C83" s="31" t="s">
        <v>97</v>
      </c>
      <c r="D83" s="32" t="s">
        <v>7</v>
      </c>
      <c r="E83" s="33">
        <f ca="1">VLOOKUP($B83, Rekap_Tugas!$A$3:$I$161, 4, FALSE)</f>
        <v>98</v>
      </c>
      <c r="F83" s="33">
        <f ca="1">VLOOKUP($B83, Rekap_Tugas!$A$3:$I$161, 5, FALSE)</f>
        <v>115</v>
      </c>
      <c r="G83" s="33">
        <f ca="1">VLOOKUP($B83, Rekap_Tugas!$A$3:$I$161, 6, FALSE)</f>
        <v>110</v>
      </c>
      <c r="H83" s="34">
        <f t="shared" ca="1" si="22"/>
        <v>107.66666666666667</v>
      </c>
      <c r="I83" s="33">
        <f ca="1">VLOOKUP($B83, Rekap_Tugas!$A$3:$I$161, 7, FALSE)</f>
        <v>103</v>
      </c>
      <c r="J83" s="33">
        <f ca="1">VLOOKUP($B83, Rekap_Tugas!$A$3:$I$161, 8, FALSE)</f>
        <v>112</v>
      </c>
      <c r="K83" s="33">
        <f ca="1">VLOOKUP($B83, Rekap_Tugas!$A$3:$I$161, 9, FALSE)</f>
        <v>84</v>
      </c>
      <c r="L83" s="35">
        <f t="shared" ca="1" si="23"/>
        <v>99.666666666666671</v>
      </c>
      <c r="M83" s="36">
        <f>VLOOKUP(B83,UTS!$B$5:$M$163,12,FALSE)</f>
        <v>88</v>
      </c>
      <c r="N83" s="37">
        <f>VLOOKUP(B83,UAS!$B$5:$L$163,11,FALSE)</f>
        <v>80</v>
      </c>
      <c r="O83" s="38" t="s">
        <v>18</v>
      </c>
      <c r="P83" s="39">
        <v>85</v>
      </c>
      <c r="Q83" s="30">
        <v>24</v>
      </c>
      <c r="R83" s="36">
        <f t="shared" si="24"/>
        <v>88.888888888888886</v>
      </c>
      <c r="S83" s="35">
        <f t="shared" ca="1" si="25"/>
        <v>90.072222222222223</v>
      </c>
      <c r="T83" s="24" t="str">
        <f>VLOOKUP(B83,UAS!$B$5:$M$163,12,FALSE)</f>
        <v>B</v>
      </c>
      <c r="U83" s="40" t="str">
        <f t="shared" ca="1" si="26"/>
        <v>A</v>
      </c>
      <c r="V83" s="41" t="str">
        <f t="shared" si="27"/>
        <v>Muhammad Habibi Husni</v>
      </c>
      <c r="W83" s="42">
        <f t="shared" si="28"/>
        <v>13521169</v>
      </c>
      <c r="X83" s="42">
        <f t="shared" si="29"/>
        <v>63</v>
      </c>
      <c r="Y83" s="12"/>
      <c r="Z83" s="2"/>
    </row>
    <row r="84" spans="1:26" ht="15" x14ac:dyDescent="0.25">
      <c r="A84" s="30">
        <v>64</v>
      </c>
      <c r="B84" s="30">
        <v>13521171</v>
      </c>
      <c r="C84" s="31" t="s">
        <v>84</v>
      </c>
      <c r="D84" s="32" t="s">
        <v>7</v>
      </c>
      <c r="E84" s="33">
        <f ca="1">VLOOKUP($B84, Rekap_Tugas!$A$3:$I$161, 4, FALSE)</f>
        <v>101</v>
      </c>
      <c r="F84" s="33">
        <f ca="1">VLOOKUP($B84, Rekap_Tugas!$A$3:$I$161, 5, FALSE)</f>
        <v>115</v>
      </c>
      <c r="G84" s="33">
        <f ca="1">VLOOKUP($B84, Rekap_Tugas!$A$3:$I$161, 6, FALSE)</f>
        <v>100</v>
      </c>
      <c r="H84" s="34">
        <f t="shared" ca="1" si="22"/>
        <v>105.33333333333333</v>
      </c>
      <c r="I84" s="33">
        <f ca="1">VLOOKUP($B84, Rekap_Tugas!$A$3:$I$161, 7, FALSE)</f>
        <v>106</v>
      </c>
      <c r="J84" s="33">
        <f ca="1">VLOOKUP($B84, Rekap_Tugas!$A$3:$I$161, 8, FALSE)</f>
        <v>115</v>
      </c>
      <c r="K84" s="33">
        <f ca="1">VLOOKUP($B84, Rekap_Tugas!$A$3:$I$161, 9, FALSE)</f>
        <v>110</v>
      </c>
      <c r="L84" s="35">
        <f t="shared" ca="1" si="23"/>
        <v>110.33333333333333</v>
      </c>
      <c r="M84" s="36">
        <f>VLOOKUP(B84,UTS!$B$5:$M$163,12,FALSE)</f>
        <v>78.5</v>
      </c>
      <c r="N84" s="37">
        <f>VLOOKUP(B84,UAS!$B$5:$L$163,11,FALSE)</f>
        <v>92.5</v>
      </c>
      <c r="O84" s="38" t="s">
        <v>18</v>
      </c>
      <c r="P84" s="39">
        <v>85</v>
      </c>
      <c r="Q84" s="30">
        <v>26</v>
      </c>
      <c r="R84" s="36">
        <f t="shared" si="24"/>
        <v>96.296296296296291</v>
      </c>
      <c r="S84" s="35">
        <f t="shared" ca="1" si="25"/>
        <v>92.444907407407399</v>
      </c>
      <c r="T84" s="24" t="str">
        <f>VLOOKUP(B84,UAS!$B$5:$M$163,12,FALSE)</f>
        <v>AB</v>
      </c>
      <c r="U84" s="40" t="str">
        <f t="shared" ca="1" si="26"/>
        <v>A</v>
      </c>
      <c r="V84" s="41" t="str">
        <f t="shared" si="27"/>
        <v>Alisha Listya Wardhani</v>
      </c>
      <c r="W84" s="42">
        <f t="shared" si="28"/>
        <v>13521171</v>
      </c>
      <c r="X84" s="42">
        <f t="shared" si="29"/>
        <v>64</v>
      </c>
      <c r="Y84" s="12"/>
      <c r="Z84" s="2"/>
    </row>
    <row r="85" spans="1:26" ht="15" x14ac:dyDescent="0.25">
      <c r="A85" s="30">
        <v>65</v>
      </c>
      <c r="B85" s="30">
        <v>13521173</v>
      </c>
      <c r="C85" s="31" t="s">
        <v>95</v>
      </c>
      <c r="D85" s="32" t="s">
        <v>7</v>
      </c>
      <c r="E85" s="33">
        <f ca="1">VLOOKUP($B85, Rekap_Tugas!$A$3:$I$161, 4, FALSE)</f>
        <v>103</v>
      </c>
      <c r="F85" s="33">
        <f ca="1">VLOOKUP($B85, Rekap_Tugas!$A$3:$I$161, 5, FALSE)</f>
        <v>115</v>
      </c>
      <c r="G85" s="33">
        <f ca="1">VLOOKUP($B85, Rekap_Tugas!$A$3:$I$161, 6, FALSE)</f>
        <v>110</v>
      </c>
      <c r="H85" s="34">
        <f t="shared" ref="H85:H116" ca="1" si="30">AVERAGE(E85:G85)</f>
        <v>109.33333333333333</v>
      </c>
      <c r="I85" s="33">
        <f ca="1">VLOOKUP($B85, Rekap_Tugas!$A$3:$I$161, 7, FALSE)</f>
        <v>102</v>
      </c>
      <c r="J85" s="33">
        <f ca="1">VLOOKUP($B85, Rekap_Tugas!$A$3:$I$161, 8, FALSE)</f>
        <v>113</v>
      </c>
      <c r="K85" s="33">
        <f ca="1">VLOOKUP($B85, Rekap_Tugas!$A$3:$I$161, 9, FALSE)</f>
        <v>96.5</v>
      </c>
      <c r="L85" s="35">
        <f t="shared" ref="L85:L116" ca="1" si="31">AVERAGE(I85:K85)</f>
        <v>103.83333333333333</v>
      </c>
      <c r="M85" s="36">
        <f>VLOOKUP(B85,UTS!$B$5:$M$163,12,FALSE)</f>
        <v>88.5</v>
      </c>
      <c r="N85" s="37">
        <f>VLOOKUP(B85,UAS!$B$5:$L$163,11,FALSE)</f>
        <v>78.5</v>
      </c>
      <c r="O85" s="38" t="s">
        <v>17</v>
      </c>
      <c r="P85" s="39">
        <v>80</v>
      </c>
      <c r="Q85" s="30">
        <v>26</v>
      </c>
      <c r="R85" s="36">
        <f t="shared" ref="R85:R116" si="32">(Q85/27)*100</f>
        <v>96.296296296296291</v>
      </c>
      <c r="S85" s="35">
        <f t="shared" ref="S85:S116" ca="1" si="33">$H$16*H85+$L$16*L85+$M$16*M85+$N$16*N85+$P$16*P85+$R$16*R85</f>
        <v>90.569907407407399</v>
      </c>
      <c r="T85" s="24" t="str">
        <f>VLOOKUP(B85,UAS!$B$5:$M$163,12,FALSE)</f>
        <v>AB</v>
      </c>
      <c r="U85" s="40" t="str">
        <f t="shared" ref="U85:U116" ca="1" si="34">VLOOKUP(S85,$T$4:$U$10,2)</f>
        <v>A</v>
      </c>
      <c r="V85" s="41" t="str">
        <f t="shared" ref="V85:V116" si="35">C85</f>
        <v>Dewana Gustavus Haraka Otang</v>
      </c>
      <c r="W85" s="42">
        <f t="shared" ref="W85:W116" si="36">B85</f>
        <v>13521173</v>
      </c>
      <c r="X85" s="42">
        <f t="shared" ref="X85:X116" si="37">A85</f>
        <v>65</v>
      </c>
      <c r="Y85" s="12"/>
      <c r="Z85" s="2"/>
    </row>
    <row r="86" spans="1:26" ht="15" x14ac:dyDescent="0.25">
      <c r="A86" s="30">
        <v>1</v>
      </c>
      <c r="B86" s="30">
        <v>13518134</v>
      </c>
      <c r="C86" s="31" t="s">
        <v>202</v>
      </c>
      <c r="D86" s="32" t="s">
        <v>8</v>
      </c>
      <c r="E86" s="33">
        <f ca="1">VLOOKUP($B86, Rekap_Tugas!$A$3:$I$161, 4, FALSE)</f>
        <v>81</v>
      </c>
      <c r="F86" s="33">
        <f ca="1">VLOOKUP($B86, Rekap_Tugas!$A$3:$I$161, 5, FALSE)</f>
        <v>87</v>
      </c>
      <c r="G86" s="33">
        <f ca="1">VLOOKUP($B86, Rekap_Tugas!$A$3:$I$161, 6, FALSE)</f>
        <v>104</v>
      </c>
      <c r="H86" s="34">
        <f t="shared" ca="1" si="30"/>
        <v>90.666666666666671</v>
      </c>
      <c r="I86" s="33">
        <f ca="1">VLOOKUP($B86, Rekap_Tugas!$A$3:$I$161, 7, FALSE)</f>
        <v>102</v>
      </c>
      <c r="J86" s="33">
        <f ca="1">VLOOKUP($B86, Rekap_Tugas!$A$3:$I$161, 8, FALSE)</f>
        <v>20</v>
      </c>
      <c r="K86" s="33">
        <f ca="1">VLOOKUP($B86, Rekap_Tugas!$A$3:$I$161, 9, FALSE)</f>
        <v>85</v>
      </c>
      <c r="L86" s="35">
        <f t="shared" ca="1" si="31"/>
        <v>69</v>
      </c>
      <c r="M86" s="36">
        <f>VLOOKUP(B86,UTS!$B$5:$M$163,12,FALSE)</f>
        <v>62.5</v>
      </c>
      <c r="N86" s="37">
        <f>VLOOKUP(B86,UAS!$B$5:$L$163,11,FALSE)</f>
        <v>65.5</v>
      </c>
      <c r="O86" s="38" t="s">
        <v>59</v>
      </c>
      <c r="P86" s="39">
        <v>80</v>
      </c>
      <c r="Q86" s="43">
        <v>23</v>
      </c>
      <c r="R86" s="36">
        <f t="shared" si="32"/>
        <v>85.18518518518519</v>
      </c>
      <c r="S86" s="35">
        <f t="shared" ca="1" si="33"/>
        <v>70.079629629629636</v>
      </c>
      <c r="T86" s="24" t="str">
        <f>VLOOKUP(B86,UAS!$B$5:$M$163,12,FALSE)</f>
        <v>B</v>
      </c>
      <c r="U86" s="40" t="str">
        <f t="shared" ca="1" si="34"/>
        <v>BC</v>
      </c>
      <c r="V86" s="41" t="str">
        <f t="shared" si="35"/>
        <v>Muhammad Raihan Iqbal</v>
      </c>
      <c r="W86" s="42">
        <f t="shared" si="36"/>
        <v>13518134</v>
      </c>
      <c r="X86" s="42">
        <f t="shared" si="37"/>
        <v>1</v>
      </c>
      <c r="Y86" s="12"/>
      <c r="Z86" s="2"/>
    </row>
    <row r="87" spans="1:26" ht="15" x14ac:dyDescent="0.25">
      <c r="A87" s="30">
        <v>2</v>
      </c>
      <c r="B87" s="30">
        <v>13521042</v>
      </c>
      <c r="C87" s="31" t="s">
        <v>80</v>
      </c>
      <c r="D87" s="32" t="s">
        <v>8</v>
      </c>
      <c r="E87" s="33">
        <f ca="1">VLOOKUP($B87, Rekap_Tugas!$A$3:$I$161, 4, FALSE)</f>
        <v>94.5</v>
      </c>
      <c r="F87" s="33">
        <f ca="1">VLOOKUP($B87, Rekap_Tugas!$A$3:$I$161, 5, FALSE)</f>
        <v>112</v>
      </c>
      <c r="G87" s="33">
        <f ca="1">VLOOKUP($B87, Rekap_Tugas!$A$3:$I$161, 6, FALSE)</f>
        <v>104</v>
      </c>
      <c r="H87" s="34">
        <f t="shared" ca="1" si="30"/>
        <v>103.5</v>
      </c>
      <c r="I87" s="33">
        <f ca="1">VLOOKUP($B87, Rekap_Tugas!$A$3:$I$161, 7, FALSE)</f>
        <v>104</v>
      </c>
      <c r="J87" s="33">
        <f ca="1">VLOOKUP($B87, Rekap_Tugas!$A$3:$I$161, 8, FALSE)</f>
        <v>110</v>
      </c>
      <c r="K87" s="33">
        <f ca="1">VLOOKUP($B87, Rekap_Tugas!$A$3:$I$161, 9, FALSE)</f>
        <v>95.5</v>
      </c>
      <c r="L87" s="35">
        <f t="shared" ca="1" si="31"/>
        <v>103.16666666666667</v>
      </c>
      <c r="M87" s="36">
        <f>VLOOKUP(B87,UTS!$B$5:$M$163,12,FALSE)</f>
        <v>91</v>
      </c>
      <c r="N87" s="37">
        <f>VLOOKUP(B87,UAS!$B$5:$L$163,11,FALSE)</f>
        <v>85</v>
      </c>
      <c r="O87" s="38" t="s">
        <v>18</v>
      </c>
      <c r="P87" s="39">
        <v>85</v>
      </c>
      <c r="Q87" s="43">
        <v>26</v>
      </c>
      <c r="R87" s="36">
        <f t="shared" si="32"/>
        <v>96.296296296296291</v>
      </c>
      <c r="S87" s="35">
        <f t="shared" ca="1" si="33"/>
        <v>92.657407407407405</v>
      </c>
      <c r="T87" s="24" t="str">
        <f>VLOOKUP(B87,UAS!$B$5:$M$163,12,FALSE)</f>
        <v>A</v>
      </c>
      <c r="U87" s="40" t="str">
        <f t="shared" ca="1" si="34"/>
        <v>A</v>
      </c>
      <c r="V87" s="41" t="str">
        <f t="shared" si="35"/>
        <v>Kevin John Wesley Hutabarat</v>
      </c>
      <c r="W87" s="42">
        <f t="shared" si="36"/>
        <v>13521042</v>
      </c>
      <c r="X87" s="42">
        <f t="shared" si="37"/>
        <v>2</v>
      </c>
      <c r="Y87" s="12"/>
      <c r="Z87" s="2"/>
    </row>
    <row r="88" spans="1:26" ht="15" x14ac:dyDescent="0.25">
      <c r="A88" s="30">
        <v>3</v>
      </c>
      <c r="B88" s="30">
        <v>13521044</v>
      </c>
      <c r="C88" s="31" t="s">
        <v>78</v>
      </c>
      <c r="D88" s="32" t="s">
        <v>8</v>
      </c>
      <c r="E88" s="33">
        <f ca="1">VLOOKUP($B88, Rekap_Tugas!$A$3:$I$161, 4, FALSE)</f>
        <v>97.5</v>
      </c>
      <c r="F88" s="33">
        <f ca="1">VLOOKUP($B88, Rekap_Tugas!$A$3:$I$161, 5, FALSE)</f>
        <v>115</v>
      </c>
      <c r="G88" s="33">
        <f ca="1">VLOOKUP($B88, Rekap_Tugas!$A$3:$I$161, 6, FALSE)</f>
        <v>105</v>
      </c>
      <c r="H88" s="34">
        <f t="shared" ca="1" si="30"/>
        <v>105.83333333333333</v>
      </c>
      <c r="I88" s="33">
        <f ca="1">VLOOKUP($B88, Rekap_Tugas!$A$3:$I$161, 7, FALSE)</f>
        <v>110</v>
      </c>
      <c r="J88" s="33">
        <f ca="1">VLOOKUP($B88, Rekap_Tugas!$A$3:$I$161, 8, FALSE)</f>
        <v>113</v>
      </c>
      <c r="K88" s="33">
        <f ca="1">VLOOKUP($B88, Rekap_Tugas!$A$3:$I$161, 9, FALSE)</f>
        <v>110</v>
      </c>
      <c r="L88" s="35">
        <f t="shared" ca="1" si="31"/>
        <v>111</v>
      </c>
      <c r="M88" s="36">
        <f>VLOOKUP(B88,UTS!$B$5:$M$163,12,FALSE)</f>
        <v>85</v>
      </c>
      <c r="N88" s="37">
        <f>VLOOKUP(B88,UAS!$B$5:$L$163,11,FALSE)</f>
        <v>87</v>
      </c>
      <c r="O88" s="38" t="s">
        <v>44</v>
      </c>
      <c r="P88" s="39">
        <v>90</v>
      </c>
      <c r="Q88" s="43">
        <v>25</v>
      </c>
      <c r="R88" s="36">
        <f t="shared" si="32"/>
        <v>92.592592592592595</v>
      </c>
      <c r="S88" s="35">
        <f t="shared" ca="1" si="33"/>
        <v>93.089814814814815</v>
      </c>
      <c r="T88" s="24" t="str">
        <f>VLOOKUP(B88,UAS!$B$5:$M$163,12,FALSE)</f>
        <v>A</v>
      </c>
      <c r="U88" s="40" t="str">
        <f t="shared" ca="1" si="34"/>
        <v>A</v>
      </c>
      <c r="V88" s="41" t="str">
        <f t="shared" si="35"/>
        <v>Rachel Gabriela Chen</v>
      </c>
      <c r="W88" s="42">
        <f t="shared" si="36"/>
        <v>13521044</v>
      </c>
      <c r="X88" s="42">
        <f t="shared" si="37"/>
        <v>3</v>
      </c>
      <c r="Y88" s="12"/>
      <c r="Z88" s="2"/>
    </row>
    <row r="89" spans="1:26" ht="15" x14ac:dyDescent="0.25">
      <c r="A89" s="30">
        <v>4</v>
      </c>
      <c r="B89" s="30">
        <v>13521046</v>
      </c>
      <c r="C89" s="31" t="s">
        <v>47</v>
      </c>
      <c r="D89" s="32" t="s">
        <v>8</v>
      </c>
      <c r="E89" s="33">
        <f ca="1">VLOOKUP($B89, Rekap_Tugas!$A$3:$I$161, 4, FALSE)</f>
        <v>95.5</v>
      </c>
      <c r="F89" s="33">
        <f ca="1">VLOOKUP($B89, Rekap_Tugas!$A$3:$I$161, 5, FALSE)</f>
        <v>115</v>
      </c>
      <c r="G89" s="33">
        <f ca="1">VLOOKUP($B89, Rekap_Tugas!$A$3:$I$161, 6, FALSE)</f>
        <v>104</v>
      </c>
      <c r="H89" s="34">
        <f t="shared" ca="1" si="30"/>
        <v>104.83333333333333</v>
      </c>
      <c r="I89" s="33">
        <f ca="1">VLOOKUP($B89, Rekap_Tugas!$A$3:$I$161, 7, FALSE)</f>
        <v>110</v>
      </c>
      <c r="J89" s="33">
        <f ca="1">VLOOKUP($B89, Rekap_Tugas!$A$3:$I$161, 8, FALSE)</f>
        <v>113</v>
      </c>
      <c r="K89" s="33">
        <f ca="1">VLOOKUP($B89, Rekap_Tugas!$A$3:$I$161, 9, FALSE)</f>
        <v>109.5</v>
      </c>
      <c r="L89" s="35">
        <f t="shared" ca="1" si="31"/>
        <v>110.83333333333333</v>
      </c>
      <c r="M89" s="36">
        <f>VLOOKUP(B89,UTS!$B$5:$M$163,12,FALSE)</f>
        <v>94</v>
      </c>
      <c r="N89" s="37">
        <f>VLOOKUP(B89,UAS!$B$5:$L$163,11,FALSE)</f>
        <v>96.5</v>
      </c>
      <c r="O89" s="38" t="s">
        <v>44</v>
      </c>
      <c r="P89" s="39">
        <v>90</v>
      </c>
      <c r="Q89" s="43">
        <v>25</v>
      </c>
      <c r="R89" s="36">
        <f t="shared" si="32"/>
        <v>92.592592592592595</v>
      </c>
      <c r="S89" s="35">
        <f t="shared" ca="1" si="33"/>
        <v>98.696064814814804</v>
      </c>
      <c r="T89" s="24" t="str">
        <f>VLOOKUP(B89,UAS!$B$5:$M$163,12,FALSE)</f>
        <v>A</v>
      </c>
      <c r="U89" s="40" t="str">
        <f t="shared" ca="1" si="34"/>
        <v>A</v>
      </c>
      <c r="V89" s="41" t="str">
        <f t="shared" si="35"/>
        <v>Jeffrey Chow</v>
      </c>
      <c r="W89" s="42">
        <f t="shared" si="36"/>
        <v>13521046</v>
      </c>
      <c r="X89" s="42">
        <f t="shared" si="37"/>
        <v>4</v>
      </c>
      <c r="Y89" s="12"/>
      <c r="Z89" s="2"/>
    </row>
    <row r="90" spans="1:26" ht="15" x14ac:dyDescent="0.25">
      <c r="A90" s="30">
        <v>5</v>
      </c>
      <c r="B90" s="30">
        <v>13521048</v>
      </c>
      <c r="C90" s="31" t="s">
        <v>173</v>
      </c>
      <c r="D90" s="32" t="s">
        <v>8</v>
      </c>
      <c r="E90" s="33">
        <f ca="1">VLOOKUP($B90, Rekap_Tugas!$A$3:$I$161, 4, FALSE)</f>
        <v>93</v>
      </c>
      <c r="F90" s="33">
        <f ca="1">VLOOKUP($B90, Rekap_Tugas!$A$3:$I$161, 5, FALSE)</f>
        <v>111</v>
      </c>
      <c r="G90" s="33">
        <f ca="1">VLOOKUP($B90, Rekap_Tugas!$A$3:$I$161, 6, FALSE)</f>
        <v>99</v>
      </c>
      <c r="H90" s="34">
        <f t="shared" ca="1" si="30"/>
        <v>101</v>
      </c>
      <c r="I90" s="33">
        <f ca="1">VLOOKUP($B90, Rekap_Tugas!$A$3:$I$161, 7, FALSE)</f>
        <v>104</v>
      </c>
      <c r="J90" s="33">
        <f ca="1">VLOOKUP($B90, Rekap_Tugas!$A$3:$I$161, 8, FALSE)</f>
        <v>112</v>
      </c>
      <c r="K90" s="33">
        <f ca="1">VLOOKUP($B90, Rekap_Tugas!$A$3:$I$161, 9, FALSE)</f>
        <v>91</v>
      </c>
      <c r="L90" s="35">
        <f t="shared" ca="1" si="31"/>
        <v>102.33333333333333</v>
      </c>
      <c r="M90" s="36">
        <f>VLOOKUP(B90,UTS!$B$5:$M$163,12,FALSE)</f>
        <v>46</v>
      </c>
      <c r="N90" s="37">
        <f>VLOOKUP(B90,UAS!$B$5:$L$163,11,FALSE)</f>
        <v>88.5</v>
      </c>
      <c r="O90" s="38" t="s">
        <v>53</v>
      </c>
      <c r="P90" s="39">
        <v>85</v>
      </c>
      <c r="Q90" s="43">
        <v>26</v>
      </c>
      <c r="R90" s="36">
        <f t="shared" si="32"/>
        <v>96.296296296296291</v>
      </c>
      <c r="S90" s="35">
        <f t="shared" ca="1" si="33"/>
        <v>79.188657407407405</v>
      </c>
      <c r="T90" s="24" t="str">
        <f>VLOOKUP(B90,UAS!$B$5:$M$163,12,FALSE)</f>
        <v>AB</v>
      </c>
      <c r="U90" s="40" t="str">
        <f t="shared" ca="1" si="34"/>
        <v>AB</v>
      </c>
      <c r="V90" s="41" t="str">
        <f t="shared" si="35"/>
        <v>M. Farrel Danendra Rachim</v>
      </c>
      <c r="W90" s="42">
        <f t="shared" si="36"/>
        <v>13521048</v>
      </c>
      <c r="X90" s="42">
        <f t="shared" si="37"/>
        <v>5</v>
      </c>
      <c r="Y90" s="12"/>
      <c r="Z90" s="2"/>
    </row>
    <row r="91" spans="1:26" ht="15" x14ac:dyDescent="0.25">
      <c r="A91" s="30">
        <v>6</v>
      </c>
      <c r="B91" s="30">
        <v>13521050</v>
      </c>
      <c r="C91" s="31" t="s">
        <v>201</v>
      </c>
      <c r="D91" s="32" t="s">
        <v>8</v>
      </c>
      <c r="E91" s="33">
        <f ca="1">VLOOKUP($B91, Rekap_Tugas!$A$3:$I$161, 4, FALSE)</f>
        <v>97.5</v>
      </c>
      <c r="F91" s="33">
        <f ca="1">VLOOKUP($B91, Rekap_Tugas!$A$3:$I$161, 5, FALSE)</f>
        <v>111</v>
      </c>
      <c r="G91" s="33">
        <f ca="1">VLOOKUP($B91, Rekap_Tugas!$A$3:$I$161, 6, FALSE)</f>
        <v>110</v>
      </c>
      <c r="H91" s="34">
        <f t="shared" ca="1" si="30"/>
        <v>106.16666666666667</v>
      </c>
      <c r="I91" s="33">
        <f ca="1">VLOOKUP($B91, Rekap_Tugas!$A$3:$I$161, 7, FALSE)</f>
        <v>100</v>
      </c>
      <c r="J91" s="33">
        <f ca="1">VLOOKUP($B91, Rekap_Tugas!$A$3:$I$161, 8, FALSE)</f>
        <v>111</v>
      </c>
      <c r="K91" s="33">
        <f ca="1">VLOOKUP($B91, Rekap_Tugas!$A$3:$I$161, 9, FALSE)</f>
        <v>85</v>
      </c>
      <c r="L91" s="35">
        <f t="shared" ca="1" si="31"/>
        <v>98.666666666666671</v>
      </c>
      <c r="M91" s="36">
        <f>VLOOKUP(B91,UTS!$B$5:$M$163,12,FALSE)</f>
        <v>45</v>
      </c>
      <c r="N91" s="37">
        <f>VLOOKUP(B91,UAS!$B$5:$L$163,11,FALSE)</f>
        <v>63</v>
      </c>
      <c r="O91" s="38" t="s">
        <v>17</v>
      </c>
      <c r="P91" s="39">
        <v>80</v>
      </c>
      <c r="Q91" s="43">
        <v>23</v>
      </c>
      <c r="R91" s="36">
        <f t="shared" si="32"/>
        <v>85.18518518518519</v>
      </c>
      <c r="S91" s="35">
        <f t="shared" ca="1" si="33"/>
        <v>70.604629629629628</v>
      </c>
      <c r="T91" s="24" t="str">
        <f>VLOOKUP(B91,UAS!$B$5:$M$163,12,FALSE)</f>
        <v>AB</v>
      </c>
      <c r="U91" s="40" t="str">
        <f t="shared" ca="1" si="34"/>
        <v>BC</v>
      </c>
      <c r="V91" s="41" t="str">
        <f t="shared" si="35"/>
        <v>Naufal Syifa Firdaus</v>
      </c>
      <c r="W91" s="42">
        <f t="shared" si="36"/>
        <v>13521050</v>
      </c>
      <c r="X91" s="42">
        <f t="shared" si="37"/>
        <v>6</v>
      </c>
      <c r="Y91" s="12"/>
      <c r="Z91" s="2"/>
    </row>
    <row r="92" spans="1:26" ht="15" x14ac:dyDescent="0.25">
      <c r="A92" s="30">
        <v>7</v>
      </c>
      <c r="B92" s="30">
        <v>13521052</v>
      </c>
      <c r="C92" s="31" t="s">
        <v>64</v>
      </c>
      <c r="D92" s="32" t="s">
        <v>8</v>
      </c>
      <c r="E92" s="33">
        <f ca="1">VLOOKUP($B92, Rekap_Tugas!$A$3:$I$161, 4, FALSE)</f>
        <v>88.5</v>
      </c>
      <c r="F92" s="33">
        <f ca="1">VLOOKUP($B92, Rekap_Tugas!$A$3:$I$161, 5, FALSE)</f>
        <v>113</v>
      </c>
      <c r="G92" s="33">
        <f ca="1">VLOOKUP($B92, Rekap_Tugas!$A$3:$I$161, 6, FALSE)</f>
        <v>107</v>
      </c>
      <c r="H92" s="34">
        <f t="shared" ca="1" si="30"/>
        <v>102.83333333333333</v>
      </c>
      <c r="I92" s="33">
        <f ca="1">VLOOKUP($B92, Rekap_Tugas!$A$3:$I$161, 7, FALSE)</f>
        <v>105</v>
      </c>
      <c r="J92" s="33">
        <f ca="1">VLOOKUP($B92, Rekap_Tugas!$A$3:$I$161, 8, FALSE)</f>
        <v>113</v>
      </c>
      <c r="K92" s="33">
        <f ca="1">VLOOKUP($B92, Rekap_Tugas!$A$3:$I$161, 9, FALSE)</f>
        <v>102</v>
      </c>
      <c r="L92" s="35">
        <f t="shared" ca="1" si="31"/>
        <v>106.66666666666667</v>
      </c>
      <c r="M92" s="36">
        <f>VLOOKUP(B92,UTS!$B$5:$M$163,12,FALSE)</f>
        <v>90</v>
      </c>
      <c r="N92" s="37">
        <f>VLOOKUP(B92,UAS!$B$5:$L$163,11,FALSE)</f>
        <v>92.5</v>
      </c>
      <c r="O92" s="38" t="s">
        <v>53</v>
      </c>
      <c r="P92" s="39">
        <v>85</v>
      </c>
      <c r="Q92" s="43">
        <v>27</v>
      </c>
      <c r="R92" s="36">
        <f t="shared" si="32"/>
        <v>100</v>
      </c>
      <c r="S92" s="35">
        <f t="shared" ca="1" si="33"/>
        <v>95.206249999999997</v>
      </c>
      <c r="T92" s="24" t="str">
        <f>VLOOKUP(B92,UAS!$B$5:$M$163,12,FALSE)</f>
        <v>A</v>
      </c>
      <c r="U92" s="40" t="str">
        <f t="shared" ca="1" si="34"/>
        <v>A</v>
      </c>
      <c r="V92" s="41" t="str">
        <f t="shared" si="35"/>
        <v>Melvin Kent Jonathan</v>
      </c>
      <c r="W92" s="42">
        <f t="shared" si="36"/>
        <v>13521052</v>
      </c>
      <c r="X92" s="42">
        <f t="shared" si="37"/>
        <v>7</v>
      </c>
      <c r="Y92" s="12"/>
      <c r="Z92" s="2"/>
    </row>
    <row r="93" spans="1:26" ht="15" x14ac:dyDescent="0.25">
      <c r="A93" s="30">
        <v>8</v>
      </c>
      <c r="B93" s="30">
        <v>13521054</v>
      </c>
      <c r="C93" s="31" t="s">
        <v>175</v>
      </c>
      <c r="D93" s="32" t="s">
        <v>8</v>
      </c>
      <c r="E93" s="33">
        <f ca="1">VLOOKUP($B93, Rekap_Tugas!$A$3:$I$161, 4, FALSE)</f>
        <v>97.5</v>
      </c>
      <c r="F93" s="33">
        <f ca="1">VLOOKUP($B93, Rekap_Tugas!$A$3:$I$161, 5, FALSE)</f>
        <v>113</v>
      </c>
      <c r="G93" s="33">
        <f ca="1">VLOOKUP($B93, Rekap_Tugas!$A$3:$I$161, 6, FALSE)</f>
        <v>105</v>
      </c>
      <c r="H93" s="34">
        <f t="shared" ca="1" si="30"/>
        <v>105.16666666666667</v>
      </c>
      <c r="I93" s="33">
        <f ca="1">VLOOKUP($B93, Rekap_Tugas!$A$3:$I$161, 7, FALSE)</f>
        <v>107</v>
      </c>
      <c r="J93" s="33">
        <f ca="1">VLOOKUP($B93, Rekap_Tugas!$A$3:$I$161, 8, FALSE)</f>
        <v>113</v>
      </c>
      <c r="K93" s="33">
        <f ca="1">VLOOKUP($B93, Rekap_Tugas!$A$3:$I$161, 9, FALSE)</f>
        <v>105.5</v>
      </c>
      <c r="L93" s="35">
        <f t="shared" ca="1" si="31"/>
        <v>108.5</v>
      </c>
      <c r="M93" s="36">
        <f>VLOOKUP(B93,UTS!$B$5:$M$163,12,FALSE)</f>
        <v>44.5</v>
      </c>
      <c r="N93" s="37">
        <f>VLOOKUP(B93,UAS!$B$5:$L$163,11,FALSE)</f>
        <v>85.5</v>
      </c>
      <c r="O93" s="38" t="s">
        <v>53</v>
      </c>
      <c r="P93" s="39">
        <v>85</v>
      </c>
      <c r="Q93" s="43">
        <v>24</v>
      </c>
      <c r="R93" s="36">
        <f t="shared" si="32"/>
        <v>88.888888888888886</v>
      </c>
      <c r="S93" s="35">
        <f t="shared" ca="1" si="33"/>
        <v>79.147222222222226</v>
      </c>
      <c r="T93" s="24" t="str">
        <f>VLOOKUP(B93,UAS!$B$5:$M$163,12,FALSE)</f>
        <v>B</v>
      </c>
      <c r="U93" s="40" t="str">
        <f t="shared" ca="1" si="34"/>
        <v>AB</v>
      </c>
      <c r="V93" s="41" t="str">
        <f t="shared" si="35"/>
        <v>Wilson Tansil</v>
      </c>
      <c r="W93" s="42">
        <f t="shared" si="36"/>
        <v>13521054</v>
      </c>
      <c r="X93" s="42">
        <f t="shared" si="37"/>
        <v>8</v>
      </c>
      <c r="Y93" s="12"/>
      <c r="Z93" s="2"/>
    </row>
    <row r="94" spans="1:26" ht="15" x14ac:dyDescent="0.25">
      <c r="A94" s="30">
        <v>9</v>
      </c>
      <c r="B94" s="30">
        <v>13521056</v>
      </c>
      <c r="C94" s="31" t="s">
        <v>153</v>
      </c>
      <c r="D94" s="32" t="s">
        <v>8</v>
      </c>
      <c r="E94" s="33">
        <f ca="1">VLOOKUP($B94, Rekap_Tugas!$A$3:$I$161, 4, FALSE)</f>
        <v>94.5</v>
      </c>
      <c r="F94" s="33">
        <f ca="1">VLOOKUP($B94, Rekap_Tugas!$A$3:$I$161, 5, FALSE)</f>
        <v>112</v>
      </c>
      <c r="G94" s="33">
        <f ca="1">VLOOKUP($B94, Rekap_Tugas!$A$3:$I$161, 6, FALSE)</f>
        <v>100</v>
      </c>
      <c r="H94" s="34">
        <f t="shared" ca="1" si="30"/>
        <v>102.16666666666667</v>
      </c>
      <c r="I94" s="33">
        <f ca="1">VLOOKUP($B94, Rekap_Tugas!$A$3:$I$161, 7, FALSE)</f>
        <v>105</v>
      </c>
      <c r="J94" s="33">
        <f ca="1">VLOOKUP($B94, Rekap_Tugas!$A$3:$I$161, 8, FALSE)</f>
        <v>109</v>
      </c>
      <c r="K94" s="33">
        <f ca="1">VLOOKUP($B94, Rekap_Tugas!$A$3:$I$161, 9, FALSE)</f>
        <v>106.5</v>
      </c>
      <c r="L94" s="35">
        <f t="shared" ca="1" si="31"/>
        <v>106.83333333333333</v>
      </c>
      <c r="M94" s="36">
        <f>VLOOKUP(B94,UTS!$B$5:$M$163,12,FALSE)</f>
        <v>65</v>
      </c>
      <c r="N94" s="37">
        <f>VLOOKUP(B94,UAS!$B$5:$L$163,11,FALSE)</f>
        <v>80</v>
      </c>
      <c r="O94" s="38" t="s">
        <v>53</v>
      </c>
      <c r="P94" s="39">
        <v>85</v>
      </c>
      <c r="Q94" s="43">
        <v>24</v>
      </c>
      <c r="R94" s="36">
        <f t="shared" si="32"/>
        <v>88.888888888888886</v>
      </c>
      <c r="S94" s="35">
        <f t="shared" ca="1" si="33"/>
        <v>83.134722222222223</v>
      </c>
      <c r="T94" s="24" t="str">
        <f>VLOOKUP(B94,UAS!$B$5:$M$163,12,FALSE)</f>
        <v>AB</v>
      </c>
      <c r="U94" s="40" t="str">
        <f t="shared" ca="1" si="34"/>
        <v>AB</v>
      </c>
      <c r="V94" s="41" t="str">
        <f t="shared" si="35"/>
        <v>Daniel Egiant Sitanggang</v>
      </c>
      <c r="W94" s="42">
        <f t="shared" si="36"/>
        <v>13521056</v>
      </c>
      <c r="X94" s="42">
        <f t="shared" si="37"/>
        <v>9</v>
      </c>
      <c r="Y94" s="12"/>
      <c r="Z94" s="2"/>
    </row>
    <row r="95" spans="1:26" ht="15" x14ac:dyDescent="0.25">
      <c r="A95" s="30">
        <v>10</v>
      </c>
      <c r="B95" s="30">
        <v>13521058</v>
      </c>
      <c r="C95" s="31" t="s">
        <v>197</v>
      </c>
      <c r="D95" s="32" t="s">
        <v>8</v>
      </c>
      <c r="E95" s="33">
        <f ca="1">VLOOKUP($B95, Rekap_Tugas!$A$3:$I$161, 4, FALSE)</f>
        <v>101</v>
      </c>
      <c r="F95" s="33">
        <f ca="1">VLOOKUP($B95, Rekap_Tugas!$A$3:$I$161, 5, FALSE)</f>
        <v>115</v>
      </c>
      <c r="G95" s="33">
        <f ca="1">VLOOKUP($B95, Rekap_Tugas!$A$3:$I$161, 6, FALSE)</f>
        <v>110</v>
      </c>
      <c r="H95" s="34">
        <f t="shared" ca="1" si="30"/>
        <v>108.66666666666667</v>
      </c>
      <c r="I95" s="33">
        <f ca="1">VLOOKUP($B95, Rekap_Tugas!$A$3:$I$161, 7, FALSE)</f>
        <v>100</v>
      </c>
      <c r="J95" s="33">
        <f ca="1">VLOOKUP($B95, Rekap_Tugas!$A$3:$I$161, 8, FALSE)</f>
        <v>104.5</v>
      </c>
      <c r="K95" s="33">
        <f ca="1">VLOOKUP($B95, Rekap_Tugas!$A$3:$I$161, 9, FALSE)</f>
        <v>101.5</v>
      </c>
      <c r="L95" s="35">
        <f t="shared" ca="1" si="31"/>
        <v>102</v>
      </c>
      <c r="M95" s="36">
        <f>VLOOKUP(B95,UTS!$B$5:$M$163,12,FALSE)</f>
        <v>46</v>
      </c>
      <c r="N95" s="37">
        <f>VLOOKUP(B95,UAS!$B$5:$L$163,11,FALSE)</f>
        <v>64</v>
      </c>
      <c r="O95" s="38" t="s">
        <v>17</v>
      </c>
      <c r="P95" s="39">
        <v>80</v>
      </c>
      <c r="Q95" s="43">
        <v>27</v>
      </c>
      <c r="R95" s="36">
        <f t="shared" si="32"/>
        <v>100</v>
      </c>
      <c r="S95" s="35">
        <f t="shared" ca="1" si="33"/>
        <v>72.474999999999994</v>
      </c>
      <c r="T95" s="24" t="str">
        <f>VLOOKUP(B95,UAS!$B$5:$M$163,12,FALSE)</f>
        <v>B</v>
      </c>
      <c r="U95" s="40" t="str">
        <f t="shared" ca="1" si="34"/>
        <v>B</v>
      </c>
      <c r="V95" s="41" t="str">
        <f t="shared" si="35"/>
        <v>Ghazi Akmal Fauzan</v>
      </c>
      <c r="W95" s="42">
        <f t="shared" si="36"/>
        <v>13521058</v>
      </c>
      <c r="X95" s="42">
        <f t="shared" si="37"/>
        <v>10</v>
      </c>
      <c r="Y95" s="12"/>
      <c r="Z95" s="2"/>
    </row>
    <row r="96" spans="1:26" ht="15" x14ac:dyDescent="0.25">
      <c r="A96" s="30">
        <v>11</v>
      </c>
      <c r="B96" s="30">
        <v>13521060</v>
      </c>
      <c r="C96" s="31" t="s">
        <v>118</v>
      </c>
      <c r="D96" s="32" t="s">
        <v>8</v>
      </c>
      <c r="E96" s="33">
        <f ca="1">VLOOKUP($B96, Rekap_Tugas!$A$3:$I$161, 4, FALSE)</f>
        <v>97.5</v>
      </c>
      <c r="F96" s="33">
        <f ca="1">VLOOKUP($B96, Rekap_Tugas!$A$3:$I$161, 5, FALSE)</f>
        <v>115</v>
      </c>
      <c r="G96" s="33">
        <f ca="1">VLOOKUP($B96, Rekap_Tugas!$A$3:$I$161, 6, FALSE)</f>
        <v>105</v>
      </c>
      <c r="H96" s="34">
        <f t="shared" ca="1" si="30"/>
        <v>105.83333333333333</v>
      </c>
      <c r="I96" s="33">
        <f ca="1">VLOOKUP($B96, Rekap_Tugas!$A$3:$I$161, 7, FALSE)</f>
        <v>106</v>
      </c>
      <c r="J96" s="33">
        <f ca="1">VLOOKUP($B96, Rekap_Tugas!$A$3:$I$161, 8, FALSE)</f>
        <v>105.5</v>
      </c>
      <c r="K96" s="33">
        <f ca="1">VLOOKUP($B96, Rekap_Tugas!$A$3:$I$161, 9, FALSE)</f>
        <v>108</v>
      </c>
      <c r="L96" s="35">
        <f t="shared" ca="1" si="31"/>
        <v>106.5</v>
      </c>
      <c r="M96" s="36">
        <f>VLOOKUP(B96,UTS!$B$5:$M$163,12,FALSE)</f>
        <v>83</v>
      </c>
      <c r="N96" s="37">
        <f>VLOOKUP(B96,UAS!$B$5:$L$163,11,FALSE)</f>
        <v>75.5</v>
      </c>
      <c r="O96" s="38" t="s">
        <v>18</v>
      </c>
      <c r="P96" s="39">
        <v>85</v>
      </c>
      <c r="Q96" s="43">
        <v>22</v>
      </c>
      <c r="R96" s="36">
        <f t="shared" si="32"/>
        <v>81.481481481481481</v>
      </c>
      <c r="S96" s="35">
        <f t="shared" ca="1" si="33"/>
        <v>87.668287037037032</v>
      </c>
      <c r="T96" s="24" t="str">
        <f>VLOOKUP(B96,UAS!$B$5:$M$163,12,FALSE)</f>
        <v>AB</v>
      </c>
      <c r="U96" s="40" t="str">
        <f t="shared" ca="1" si="34"/>
        <v>A</v>
      </c>
      <c r="V96" s="41" t="str">
        <f t="shared" si="35"/>
        <v>Fatih Nararya Rashadyfa I.</v>
      </c>
      <c r="W96" s="42">
        <f t="shared" si="36"/>
        <v>13521060</v>
      </c>
      <c r="X96" s="42">
        <f t="shared" si="37"/>
        <v>11</v>
      </c>
      <c r="Y96" s="12"/>
      <c r="Z96" s="2"/>
    </row>
    <row r="97" spans="1:26" ht="15" x14ac:dyDescent="0.25">
      <c r="A97" s="30">
        <v>12</v>
      </c>
      <c r="B97" s="30">
        <v>13521062</v>
      </c>
      <c r="C97" s="31" t="s">
        <v>60</v>
      </c>
      <c r="D97" s="32" t="s">
        <v>8</v>
      </c>
      <c r="E97" s="33">
        <f ca="1">VLOOKUP($B97, Rekap_Tugas!$A$3:$I$161, 4, FALSE)</f>
        <v>97.5</v>
      </c>
      <c r="F97" s="33">
        <f ca="1">VLOOKUP($B97, Rekap_Tugas!$A$3:$I$161, 5, FALSE)</f>
        <v>115</v>
      </c>
      <c r="G97" s="33">
        <f ca="1">VLOOKUP($B97, Rekap_Tugas!$A$3:$I$161, 6, FALSE)</f>
        <v>100</v>
      </c>
      <c r="H97" s="34">
        <f t="shared" ca="1" si="30"/>
        <v>104.16666666666667</v>
      </c>
      <c r="I97" s="33">
        <f ca="1">VLOOKUP($B97, Rekap_Tugas!$A$3:$I$161, 7, FALSE)</f>
        <v>106</v>
      </c>
      <c r="J97" s="33">
        <f ca="1">VLOOKUP($B97, Rekap_Tugas!$A$3:$I$161, 8, FALSE)</f>
        <v>107</v>
      </c>
      <c r="K97" s="33">
        <f ca="1">VLOOKUP($B97, Rekap_Tugas!$A$3:$I$161, 9, FALSE)</f>
        <v>107</v>
      </c>
      <c r="L97" s="35">
        <f t="shared" ca="1" si="31"/>
        <v>106.66666666666667</v>
      </c>
      <c r="M97" s="36">
        <f>VLOOKUP(B97,UTS!$B$5:$M$163,12,FALSE)</f>
        <v>95.5</v>
      </c>
      <c r="N97" s="37">
        <f>VLOOKUP(B97,UAS!$B$5:$L$163,11,FALSE)</f>
        <v>90.5</v>
      </c>
      <c r="O97" s="38" t="s">
        <v>18</v>
      </c>
      <c r="P97" s="39">
        <v>85</v>
      </c>
      <c r="Q97" s="43">
        <v>27</v>
      </c>
      <c r="R97" s="36">
        <f t="shared" si="32"/>
        <v>100</v>
      </c>
      <c r="S97" s="35">
        <f t="shared" ca="1" si="33"/>
        <v>96.5</v>
      </c>
      <c r="T97" s="24" t="str">
        <f>VLOOKUP(B97,UAS!$B$5:$M$163,12,FALSE)</f>
        <v>A</v>
      </c>
      <c r="U97" s="40" t="str">
        <f t="shared" ca="1" si="34"/>
        <v>A</v>
      </c>
      <c r="V97" s="41" t="str">
        <f t="shared" si="35"/>
        <v>Go Dillon Audris</v>
      </c>
      <c r="W97" s="42">
        <f t="shared" si="36"/>
        <v>13521062</v>
      </c>
      <c r="X97" s="42">
        <f t="shared" si="37"/>
        <v>12</v>
      </c>
      <c r="Y97" s="12"/>
      <c r="Z97" s="2"/>
    </row>
    <row r="98" spans="1:26" ht="15" x14ac:dyDescent="0.25">
      <c r="A98" s="30">
        <v>13</v>
      </c>
      <c r="B98" s="30">
        <v>13521064</v>
      </c>
      <c r="C98" s="31" t="s">
        <v>123</v>
      </c>
      <c r="D98" s="32" t="s">
        <v>8</v>
      </c>
      <c r="E98" s="33">
        <f ca="1">VLOOKUP($B98, Rekap_Tugas!$A$3:$I$161, 4, FALSE)</f>
        <v>93.5</v>
      </c>
      <c r="F98" s="33">
        <f ca="1">VLOOKUP($B98, Rekap_Tugas!$A$3:$I$161, 5, FALSE)</f>
        <v>115</v>
      </c>
      <c r="G98" s="33">
        <f ca="1">VLOOKUP($B98, Rekap_Tugas!$A$3:$I$161, 6, FALSE)</f>
        <v>100</v>
      </c>
      <c r="H98" s="34">
        <f t="shared" ca="1" si="30"/>
        <v>102.83333333333333</v>
      </c>
      <c r="I98" s="33">
        <f ca="1">VLOOKUP($B98, Rekap_Tugas!$A$3:$I$161, 7, FALSE)</f>
        <v>102</v>
      </c>
      <c r="J98" s="33">
        <f ca="1">VLOOKUP($B98, Rekap_Tugas!$A$3:$I$161, 8, FALSE)</f>
        <v>105</v>
      </c>
      <c r="K98" s="33">
        <f ca="1">VLOOKUP($B98, Rekap_Tugas!$A$3:$I$161, 9, FALSE)</f>
        <v>109.5</v>
      </c>
      <c r="L98" s="35">
        <f t="shared" ca="1" si="31"/>
        <v>105.5</v>
      </c>
      <c r="M98" s="36">
        <f>VLOOKUP(B98,UTS!$B$5:$M$163,12,FALSE)</f>
        <v>70.5</v>
      </c>
      <c r="N98" s="37">
        <f>VLOOKUP(B98,UAS!$B$5:$L$163,11,FALSE)</f>
        <v>87.5</v>
      </c>
      <c r="O98" s="38" t="s">
        <v>18</v>
      </c>
      <c r="P98" s="39">
        <v>85</v>
      </c>
      <c r="Q98" s="43">
        <v>27</v>
      </c>
      <c r="R98" s="36">
        <f t="shared" si="32"/>
        <v>100</v>
      </c>
      <c r="S98" s="35">
        <f t="shared" ca="1" si="33"/>
        <v>87.375</v>
      </c>
      <c r="T98" s="24" t="str">
        <f>VLOOKUP(B98,UAS!$B$5:$M$163,12,FALSE)</f>
        <v>A</v>
      </c>
      <c r="U98" s="40" t="str">
        <f t="shared" ca="1" si="34"/>
        <v>A</v>
      </c>
      <c r="V98" s="41" t="str">
        <f t="shared" si="35"/>
        <v>Bill Clinton</v>
      </c>
      <c r="W98" s="42">
        <f t="shared" si="36"/>
        <v>13521064</v>
      </c>
      <c r="X98" s="42">
        <f t="shared" si="37"/>
        <v>13</v>
      </c>
      <c r="Y98" s="12"/>
      <c r="Z98" s="2"/>
    </row>
    <row r="99" spans="1:26" ht="15" x14ac:dyDescent="0.25">
      <c r="A99" s="30">
        <v>14</v>
      </c>
      <c r="B99" s="30">
        <v>13521066</v>
      </c>
      <c r="C99" s="31" t="s">
        <v>79</v>
      </c>
      <c r="D99" s="32" t="s">
        <v>8</v>
      </c>
      <c r="E99" s="33">
        <f ca="1">VLOOKUP($B99, Rekap_Tugas!$A$3:$I$161, 4, FALSE)</f>
        <v>99</v>
      </c>
      <c r="F99" s="33">
        <f ca="1">VLOOKUP($B99, Rekap_Tugas!$A$3:$I$161, 5, FALSE)</f>
        <v>114</v>
      </c>
      <c r="G99" s="33">
        <f ca="1">VLOOKUP($B99, Rekap_Tugas!$A$3:$I$161, 6, FALSE)</f>
        <v>110</v>
      </c>
      <c r="H99" s="34">
        <f t="shared" ca="1" si="30"/>
        <v>107.66666666666667</v>
      </c>
      <c r="I99" s="33">
        <f ca="1">VLOOKUP($B99, Rekap_Tugas!$A$3:$I$161, 7, FALSE)</f>
        <v>96</v>
      </c>
      <c r="J99" s="33">
        <f ca="1">VLOOKUP($B99, Rekap_Tugas!$A$3:$I$161, 8, FALSE)</f>
        <v>113</v>
      </c>
      <c r="K99" s="33">
        <f ca="1">VLOOKUP($B99, Rekap_Tugas!$A$3:$I$161, 9, FALSE)</f>
        <v>82</v>
      </c>
      <c r="L99" s="35">
        <f t="shared" ca="1" si="31"/>
        <v>97</v>
      </c>
      <c r="M99" s="36">
        <f>VLOOKUP(B99,UTS!$B$5:$M$163,12,FALSE)</f>
        <v>92</v>
      </c>
      <c r="N99" s="37">
        <f>VLOOKUP(B99,UAS!$B$5:$L$163,11,FALSE)</f>
        <v>85</v>
      </c>
      <c r="O99" s="38" t="s">
        <v>18</v>
      </c>
      <c r="P99" s="39">
        <v>85</v>
      </c>
      <c r="Q99" s="43">
        <v>26</v>
      </c>
      <c r="R99" s="36">
        <f t="shared" si="32"/>
        <v>96.296296296296291</v>
      </c>
      <c r="S99" s="35">
        <f t="shared" ca="1" si="33"/>
        <v>92.669907407407393</v>
      </c>
      <c r="T99" s="24" t="str">
        <f>VLOOKUP(B99,UAS!$B$5:$M$163,12,FALSE)</f>
        <v>A</v>
      </c>
      <c r="U99" s="40" t="str">
        <f t="shared" ca="1" si="34"/>
        <v>A</v>
      </c>
      <c r="V99" s="41" t="str">
        <f t="shared" si="35"/>
        <v>Muhammad Fadhil Amri</v>
      </c>
      <c r="W99" s="42">
        <f t="shared" si="36"/>
        <v>13521066</v>
      </c>
      <c r="X99" s="42">
        <f t="shared" si="37"/>
        <v>14</v>
      </c>
      <c r="Y99" s="12"/>
      <c r="Z99" s="2"/>
    </row>
    <row r="100" spans="1:26" ht="15" x14ac:dyDescent="0.25">
      <c r="A100" s="30">
        <v>15</v>
      </c>
      <c r="B100" s="30">
        <v>13521068</v>
      </c>
      <c r="C100" s="31" t="s">
        <v>185</v>
      </c>
      <c r="D100" s="32" t="s">
        <v>8</v>
      </c>
      <c r="E100" s="33">
        <f ca="1">VLOOKUP($B100, Rekap_Tugas!$A$3:$I$161, 4, FALSE)</f>
        <v>93</v>
      </c>
      <c r="F100" s="33">
        <f ca="1">VLOOKUP($B100, Rekap_Tugas!$A$3:$I$161, 5, FALSE)</f>
        <v>86</v>
      </c>
      <c r="G100" s="33">
        <f ca="1">VLOOKUP($B100, Rekap_Tugas!$A$3:$I$161, 6, FALSE)</f>
        <v>104</v>
      </c>
      <c r="H100" s="34">
        <f t="shared" ca="1" si="30"/>
        <v>94.333333333333329</v>
      </c>
      <c r="I100" s="33">
        <f ca="1">VLOOKUP($B100, Rekap_Tugas!$A$3:$I$161, 7, FALSE)</f>
        <v>100</v>
      </c>
      <c r="J100" s="33">
        <f ca="1">VLOOKUP($B100, Rekap_Tugas!$A$3:$I$161, 8, FALSE)</f>
        <v>87.5</v>
      </c>
      <c r="K100" s="33">
        <f ca="1">VLOOKUP($B100, Rekap_Tugas!$A$3:$I$161, 9, FALSE)</f>
        <v>106.5</v>
      </c>
      <c r="L100" s="35">
        <f t="shared" ca="1" si="31"/>
        <v>98</v>
      </c>
      <c r="M100" s="36">
        <f>VLOOKUP(B100,UTS!$B$5:$M$163,12,FALSE)</f>
        <v>56.5</v>
      </c>
      <c r="N100" s="37">
        <f>VLOOKUP(B100,UAS!$B$5:$L$163,11,FALSE)</f>
        <v>76.5</v>
      </c>
      <c r="O100" s="38" t="s">
        <v>17</v>
      </c>
      <c r="P100" s="39">
        <v>80</v>
      </c>
      <c r="Q100" s="43">
        <v>25</v>
      </c>
      <c r="R100" s="36">
        <f t="shared" si="32"/>
        <v>92.592592592592595</v>
      </c>
      <c r="S100" s="35">
        <f t="shared" ca="1" si="33"/>
        <v>76.727314814814804</v>
      </c>
      <c r="T100" s="24" t="str">
        <f>VLOOKUP(B100,UAS!$B$5:$M$163,12,FALSE)</f>
        <v>AB</v>
      </c>
      <c r="U100" s="40" t="str">
        <f t="shared" ca="1" si="34"/>
        <v>B</v>
      </c>
      <c r="V100" s="41" t="str">
        <f t="shared" si="35"/>
        <v>Ilham Akbar</v>
      </c>
      <c r="W100" s="42">
        <f t="shared" si="36"/>
        <v>13521068</v>
      </c>
      <c r="X100" s="42">
        <f t="shared" si="37"/>
        <v>15</v>
      </c>
      <c r="Y100" s="12"/>
      <c r="Z100" s="2"/>
    </row>
    <row r="101" spans="1:26" ht="15" x14ac:dyDescent="0.25">
      <c r="A101" s="30">
        <v>16</v>
      </c>
      <c r="B101" s="30">
        <v>13521070</v>
      </c>
      <c r="C101" s="31" t="s">
        <v>180</v>
      </c>
      <c r="D101" s="32" t="s">
        <v>8</v>
      </c>
      <c r="E101" s="33">
        <f ca="1">VLOOKUP($B101, Rekap_Tugas!$A$3:$I$161, 4, FALSE)</f>
        <v>95.5</v>
      </c>
      <c r="F101" s="33">
        <f ca="1">VLOOKUP($B101, Rekap_Tugas!$A$3:$I$161, 5, FALSE)</f>
        <v>115</v>
      </c>
      <c r="G101" s="33">
        <f ca="1">VLOOKUP($B101, Rekap_Tugas!$A$3:$I$161, 6, FALSE)</f>
        <v>110</v>
      </c>
      <c r="H101" s="34">
        <f t="shared" ca="1" si="30"/>
        <v>106.83333333333333</v>
      </c>
      <c r="I101" s="33">
        <f ca="1">VLOOKUP($B101, Rekap_Tugas!$A$3:$I$161, 7, FALSE)</f>
        <v>96</v>
      </c>
      <c r="J101" s="33">
        <f ca="1">VLOOKUP($B101, Rekap_Tugas!$A$3:$I$161, 8, FALSE)</f>
        <v>104.5</v>
      </c>
      <c r="K101" s="33">
        <f ca="1">VLOOKUP($B101, Rekap_Tugas!$A$3:$I$161, 9, FALSE)</f>
        <v>107</v>
      </c>
      <c r="L101" s="35">
        <f t="shared" ca="1" si="31"/>
        <v>102.5</v>
      </c>
      <c r="M101" s="36">
        <f>VLOOKUP(B101,UTS!$B$5:$M$163,12,FALSE)</f>
        <v>48.5</v>
      </c>
      <c r="N101" s="37">
        <f>VLOOKUP(B101,UAS!$B$5:$L$163,11,FALSE)</f>
        <v>78.5</v>
      </c>
      <c r="O101" s="38" t="s">
        <v>15</v>
      </c>
      <c r="P101" s="39">
        <v>75</v>
      </c>
      <c r="Q101" s="43">
        <v>27</v>
      </c>
      <c r="R101" s="36">
        <f t="shared" si="32"/>
        <v>100</v>
      </c>
      <c r="S101" s="35">
        <f t="shared" ca="1" si="33"/>
        <v>77.337500000000006</v>
      </c>
      <c r="T101" s="24" t="str">
        <f>VLOOKUP(B101,UAS!$B$5:$M$163,12,FALSE)</f>
        <v>A</v>
      </c>
      <c r="U101" s="40" t="str">
        <f t="shared" ca="1" si="34"/>
        <v>AB</v>
      </c>
      <c r="V101" s="41" t="str">
        <f t="shared" si="35"/>
        <v>Akmal Mahardika Nurwahyu P</v>
      </c>
      <c r="W101" s="42">
        <f t="shared" si="36"/>
        <v>13521070</v>
      </c>
      <c r="X101" s="42">
        <f t="shared" si="37"/>
        <v>16</v>
      </c>
      <c r="Y101" s="12"/>
      <c r="Z101" s="2"/>
    </row>
    <row r="102" spans="1:26" ht="15" x14ac:dyDescent="0.25">
      <c r="A102" s="30">
        <v>17</v>
      </c>
      <c r="B102" s="30">
        <v>13521072</v>
      </c>
      <c r="C102" s="31" t="s">
        <v>194</v>
      </c>
      <c r="D102" s="32" t="s">
        <v>8</v>
      </c>
      <c r="E102" s="33">
        <f ca="1">VLOOKUP($B102, Rekap_Tugas!$A$3:$I$161, 4, FALSE)</f>
        <v>99</v>
      </c>
      <c r="F102" s="33">
        <f ca="1">VLOOKUP($B102, Rekap_Tugas!$A$3:$I$161, 5, FALSE)</f>
        <v>107.5</v>
      </c>
      <c r="G102" s="33">
        <f ca="1">VLOOKUP($B102, Rekap_Tugas!$A$3:$I$161, 6, FALSE)</f>
        <v>105</v>
      </c>
      <c r="H102" s="34">
        <f t="shared" ca="1" si="30"/>
        <v>103.83333333333333</v>
      </c>
      <c r="I102" s="33">
        <f ca="1">VLOOKUP($B102, Rekap_Tugas!$A$3:$I$161, 7, FALSE)</f>
        <v>101</v>
      </c>
      <c r="J102" s="33">
        <f ca="1">VLOOKUP($B102, Rekap_Tugas!$A$3:$I$161, 8, FALSE)</f>
        <v>107</v>
      </c>
      <c r="K102" s="33">
        <f ca="1">VLOOKUP($B102, Rekap_Tugas!$A$3:$I$161, 9, FALSE)</f>
        <v>100</v>
      </c>
      <c r="L102" s="35">
        <f t="shared" ca="1" si="31"/>
        <v>102.66666666666667</v>
      </c>
      <c r="M102" s="36">
        <f>VLOOKUP(B102,UTS!$B$5:$M$163,12,FALSE)</f>
        <v>46</v>
      </c>
      <c r="N102" s="37">
        <f>VLOOKUP(B102,UAS!$B$5:$L$163,11,FALSE)</f>
        <v>73.5</v>
      </c>
      <c r="O102" s="38" t="s">
        <v>53</v>
      </c>
      <c r="P102" s="39">
        <v>85</v>
      </c>
      <c r="Q102" s="43">
        <v>24</v>
      </c>
      <c r="R102" s="36">
        <f t="shared" si="32"/>
        <v>88.888888888888886</v>
      </c>
      <c r="S102" s="35">
        <f t="shared" ca="1" si="33"/>
        <v>74.790972222222223</v>
      </c>
      <c r="T102" s="24" t="str">
        <f>VLOOKUP(B102,UAS!$B$5:$M$163,12,FALSE)</f>
        <v>AB</v>
      </c>
      <c r="U102" s="40" t="str">
        <f t="shared" ca="1" si="34"/>
        <v>B</v>
      </c>
      <c r="V102" s="41" t="str">
        <f t="shared" si="35"/>
        <v>Irsyad Nurwidianto Basuki</v>
      </c>
      <c r="W102" s="42">
        <f t="shared" si="36"/>
        <v>13521072</v>
      </c>
      <c r="X102" s="42">
        <f t="shared" si="37"/>
        <v>17</v>
      </c>
      <c r="Y102" s="12"/>
      <c r="Z102" s="2"/>
    </row>
    <row r="103" spans="1:26" ht="15" x14ac:dyDescent="0.25">
      <c r="A103" s="30">
        <v>18</v>
      </c>
      <c r="B103" s="30">
        <v>13521074</v>
      </c>
      <c r="C103" s="31" t="s">
        <v>107</v>
      </c>
      <c r="D103" s="32" t="s">
        <v>8</v>
      </c>
      <c r="E103" s="33">
        <f ca="1">VLOOKUP($B103, Rekap_Tugas!$A$3:$I$161, 4, FALSE)</f>
        <v>97.5</v>
      </c>
      <c r="F103" s="33">
        <f ca="1">VLOOKUP($B103, Rekap_Tugas!$A$3:$I$161, 5, FALSE)</f>
        <v>111</v>
      </c>
      <c r="G103" s="33">
        <f ca="1">VLOOKUP($B103, Rekap_Tugas!$A$3:$I$161, 6, FALSE)</f>
        <v>99</v>
      </c>
      <c r="H103" s="34">
        <f t="shared" ca="1" si="30"/>
        <v>102.5</v>
      </c>
      <c r="I103" s="33">
        <f ca="1">VLOOKUP($B103, Rekap_Tugas!$A$3:$I$161, 7, FALSE)</f>
        <v>110</v>
      </c>
      <c r="J103" s="33">
        <f ca="1">VLOOKUP($B103, Rekap_Tugas!$A$3:$I$161, 8, FALSE)</f>
        <v>114</v>
      </c>
      <c r="K103" s="33">
        <f ca="1">VLOOKUP($B103, Rekap_Tugas!$A$3:$I$161, 9, FALSE)</f>
        <v>102</v>
      </c>
      <c r="L103" s="35">
        <f t="shared" ca="1" si="31"/>
        <v>108.66666666666667</v>
      </c>
      <c r="M103" s="36">
        <f>VLOOKUP(B103,UTS!$B$5:$M$163,12,FALSE)</f>
        <v>80.5</v>
      </c>
      <c r="N103" s="37">
        <f>VLOOKUP(B103,UAS!$B$5:$L$163,11,FALSE)</f>
        <v>82.5</v>
      </c>
      <c r="O103" s="38" t="s">
        <v>44</v>
      </c>
      <c r="P103" s="39">
        <v>90</v>
      </c>
      <c r="Q103" s="43">
        <v>24</v>
      </c>
      <c r="R103" s="36">
        <f t="shared" si="32"/>
        <v>88.888888888888886</v>
      </c>
      <c r="S103" s="35">
        <f t="shared" ca="1" si="33"/>
        <v>89.334722222222226</v>
      </c>
      <c r="T103" s="24" t="str">
        <f>VLOOKUP(B103,UAS!$B$5:$M$163,12,FALSE)</f>
        <v>A</v>
      </c>
      <c r="U103" s="40" t="str">
        <f t="shared" ca="1" si="34"/>
        <v>A</v>
      </c>
      <c r="V103" s="41" t="str">
        <f t="shared" si="35"/>
        <v>Eugene Yap Jin Quan</v>
      </c>
      <c r="W103" s="42">
        <f t="shared" si="36"/>
        <v>13521074</v>
      </c>
      <c r="X103" s="42">
        <f t="shared" si="37"/>
        <v>18</v>
      </c>
      <c r="Y103" s="12"/>
      <c r="Z103" s="2"/>
    </row>
    <row r="104" spans="1:26" ht="15" x14ac:dyDescent="0.25">
      <c r="A104" s="30">
        <v>19</v>
      </c>
      <c r="B104" s="30">
        <v>13521076</v>
      </c>
      <c r="C104" s="31" t="s">
        <v>176</v>
      </c>
      <c r="D104" s="32" t="s">
        <v>8</v>
      </c>
      <c r="E104" s="33">
        <f ca="1">VLOOKUP($B104, Rekap_Tugas!$A$3:$I$161, 4, FALSE)</f>
        <v>91</v>
      </c>
      <c r="F104" s="33">
        <f ca="1">VLOOKUP($B104, Rekap_Tugas!$A$3:$I$161, 5, FALSE)</f>
        <v>114</v>
      </c>
      <c r="G104" s="33">
        <f ca="1">VLOOKUP($B104, Rekap_Tugas!$A$3:$I$161, 6, FALSE)</f>
        <v>105</v>
      </c>
      <c r="H104" s="34">
        <f t="shared" ca="1" si="30"/>
        <v>103.33333333333333</v>
      </c>
      <c r="I104" s="33">
        <f ca="1">VLOOKUP($B104, Rekap_Tugas!$A$3:$I$161, 7, FALSE)</f>
        <v>100</v>
      </c>
      <c r="J104" s="33">
        <f ca="1">VLOOKUP($B104, Rekap_Tugas!$A$3:$I$161, 8, FALSE)</f>
        <v>110</v>
      </c>
      <c r="K104" s="33">
        <f ca="1">VLOOKUP($B104, Rekap_Tugas!$A$3:$I$161, 9, FALSE)</f>
        <v>78</v>
      </c>
      <c r="L104" s="35">
        <f t="shared" ca="1" si="31"/>
        <v>96</v>
      </c>
      <c r="M104" s="36">
        <f>VLOOKUP(B104,UTS!$B$5:$M$163,12,FALSE)</f>
        <v>52.5</v>
      </c>
      <c r="N104" s="37">
        <f>VLOOKUP(B104,UAS!$B$5:$L$163,11,FALSE)</f>
        <v>84</v>
      </c>
      <c r="O104" s="38" t="s">
        <v>53</v>
      </c>
      <c r="P104" s="39">
        <v>85</v>
      </c>
      <c r="Q104" s="43">
        <v>25</v>
      </c>
      <c r="R104" s="36">
        <f t="shared" si="32"/>
        <v>92.592592592592595</v>
      </c>
      <c r="S104" s="9">
        <f t="shared" ca="1" si="33"/>
        <v>79.121064814814815</v>
      </c>
      <c r="T104" s="24" t="str">
        <f>VLOOKUP(B104,UAS!$B$5:$M$163,12,FALSE)</f>
        <v>A</v>
      </c>
      <c r="U104" s="40" t="str">
        <f t="shared" ca="1" si="34"/>
        <v>AB</v>
      </c>
      <c r="V104" s="41" t="str">
        <f t="shared" si="35"/>
        <v>Moh. Aghna Maysan Abyan</v>
      </c>
      <c r="W104" s="42">
        <f t="shared" si="36"/>
        <v>13521076</v>
      </c>
      <c r="X104" s="42">
        <f t="shared" si="37"/>
        <v>19</v>
      </c>
      <c r="Y104" s="12"/>
      <c r="Z104" s="2"/>
    </row>
    <row r="105" spans="1:26" ht="15" x14ac:dyDescent="0.25">
      <c r="A105" s="30">
        <v>20</v>
      </c>
      <c r="B105" s="30">
        <v>13521078</v>
      </c>
      <c r="C105" s="31" t="s">
        <v>56</v>
      </c>
      <c r="D105" s="32" t="s">
        <v>8</v>
      </c>
      <c r="E105" s="33">
        <f ca="1">VLOOKUP($B105, Rekap_Tugas!$A$3:$I$161, 4, FALSE)</f>
        <v>98</v>
      </c>
      <c r="F105" s="33">
        <f ca="1">VLOOKUP($B105, Rekap_Tugas!$A$3:$I$161, 5, FALSE)</f>
        <v>112</v>
      </c>
      <c r="G105" s="33">
        <f ca="1">VLOOKUP($B105, Rekap_Tugas!$A$3:$I$161, 6, FALSE)</f>
        <v>82</v>
      </c>
      <c r="H105" s="34">
        <f t="shared" ca="1" si="30"/>
        <v>97.333333333333329</v>
      </c>
      <c r="I105" s="33">
        <f ca="1">VLOOKUP($B105, Rekap_Tugas!$A$3:$I$161, 7, FALSE)</f>
        <v>97</v>
      </c>
      <c r="J105" s="33">
        <f ca="1">VLOOKUP($B105, Rekap_Tugas!$A$3:$I$161, 8, FALSE)</f>
        <v>104.5</v>
      </c>
      <c r="K105" s="33">
        <f ca="1">VLOOKUP($B105, Rekap_Tugas!$A$3:$I$161, 9, FALSE)</f>
        <v>101.5</v>
      </c>
      <c r="L105" s="35">
        <f t="shared" ca="1" si="31"/>
        <v>101</v>
      </c>
      <c r="M105" s="36">
        <f>VLOOKUP(B105,UTS!$B$5:$M$163,12,FALSE)</f>
        <v>98</v>
      </c>
      <c r="N105" s="37">
        <f>VLOOKUP(B105,UAS!$B$5:$L$163,11,FALSE)</f>
        <v>97.5</v>
      </c>
      <c r="O105" s="38" t="s">
        <v>15</v>
      </c>
      <c r="P105" s="39">
        <v>75</v>
      </c>
      <c r="Q105" s="43">
        <v>27</v>
      </c>
      <c r="R105" s="36">
        <f t="shared" si="32"/>
        <v>100</v>
      </c>
      <c r="S105" s="35">
        <f t="shared" ca="1" si="33"/>
        <v>97.09375</v>
      </c>
      <c r="T105" s="24" t="str">
        <f>VLOOKUP(B105,UAS!$B$5:$M$163,12,FALSE)</f>
        <v>A</v>
      </c>
      <c r="U105" s="40" t="str">
        <f t="shared" ca="1" si="34"/>
        <v>A</v>
      </c>
      <c r="V105" s="41" t="str">
        <f t="shared" si="35"/>
        <v>Christian Albert Hasiholan</v>
      </c>
      <c r="W105" s="42">
        <f t="shared" si="36"/>
        <v>13521078</v>
      </c>
      <c r="X105" s="42">
        <f t="shared" si="37"/>
        <v>20</v>
      </c>
      <c r="Y105" s="12"/>
      <c r="Z105" s="2"/>
    </row>
    <row r="106" spans="1:26" ht="15" x14ac:dyDescent="0.25">
      <c r="A106" s="30">
        <v>21</v>
      </c>
      <c r="B106" s="30">
        <v>13521080</v>
      </c>
      <c r="C106" s="31" t="s">
        <v>92</v>
      </c>
      <c r="D106" s="32" t="s">
        <v>8</v>
      </c>
      <c r="E106" s="33">
        <f ca="1">VLOOKUP($B106, Rekap_Tugas!$A$3:$I$161, 4, FALSE)</f>
        <v>97.5</v>
      </c>
      <c r="F106" s="33">
        <f ca="1">VLOOKUP($B106, Rekap_Tugas!$A$3:$I$161, 5, FALSE)</f>
        <v>114</v>
      </c>
      <c r="G106" s="33">
        <f ca="1">VLOOKUP($B106, Rekap_Tugas!$A$3:$I$161, 6, FALSE)</f>
        <v>107</v>
      </c>
      <c r="H106" s="34">
        <f t="shared" ca="1" si="30"/>
        <v>106.16666666666667</v>
      </c>
      <c r="I106" s="33">
        <f ca="1">VLOOKUP($B106, Rekap_Tugas!$A$3:$I$161, 7, FALSE)</f>
        <v>98</v>
      </c>
      <c r="J106" s="33">
        <f ca="1">VLOOKUP($B106, Rekap_Tugas!$A$3:$I$161, 8, FALSE)</f>
        <v>105</v>
      </c>
      <c r="K106" s="33">
        <f ca="1">VLOOKUP($B106, Rekap_Tugas!$A$3:$I$161, 9, FALSE)</f>
        <v>103</v>
      </c>
      <c r="L106" s="35">
        <f t="shared" ca="1" si="31"/>
        <v>102</v>
      </c>
      <c r="M106" s="36">
        <f>VLOOKUP(B106,UTS!$B$5:$M$163,12,FALSE)</f>
        <v>77</v>
      </c>
      <c r="N106" s="37">
        <f>VLOOKUP(B106,UAS!$B$5:$L$163,11,FALSE)</f>
        <v>93.5</v>
      </c>
      <c r="O106" s="38" t="s">
        <v>17</v>
      </c>
      <c r="P106" s="39">
        <v>80</v>
      </c>
      <c r="Q106" s="43">
        <v>27</v>
      </c>
      <c r="R106" s="36">
        <f t="shared" si="32"/>
        <v>100</v>
      </c>
      <c r="S106" s="35">
        <f t="shared" ca="1" si="33"/>
        <v>91.006249999999994</v>
      </c>
      <c r="T106" s="24" t="str">
        <f>VLOOKUP(B106,UAS!$B$5:$M$163,12,FALSE)</f>
        <v>AB</v>
      </c>
      <c r="U106" s="40" t="str">
        <f t="shared" ca="1" si="34"/>
        <v>A</v>
      </c>
      <c r="V106" s="41" t="str">
        <f t="shared" si="35"/>
        <v>Fajar Maulana Herawan</v>
      </c>
      <c r="W106" s="42">
        <f t="shared" si="36"/>
        <v>13521080</v>
      </c>
      <c r="X106" s="42">
        <f t="shared" si="37"/>
        <v>21</v>
      </c>
      <c r="Y106" s="12"/>
      <c r="Z106" s="2"/>
    </row>
    <row r="107" spans="1:26" ht="15" x14ac:dyDescent="0.25">
      <c r="A107" s="30">
        <v>22</v>
      </c>
      <c r="B107" s="30">
        <v>13521082</v>
      </c>
      <c r="C107" s="31" t="s">
        <v>65</v>
      </c>
      <c r="D107" s="32" t="s">
        <v>8</v>
      </c>
      <c r="E107" s="33">
        <f ca="1">VLOOKUP($B107, Rekap_Tugas!$A$3:$I$161, 4, FALSE)</f>
        <v>98</v>
      </c>
      <c r="F107" s="33">
        <f ca="1">VLOOKUP($B107, Rekap_Tugas!$A$3:$I$161, 5, FALSE)</f>
        <v>113</v>
      </c>
      <c r="G107" s="33">
        <f ca="1">VLOOKUP($B107, Rekap_Tugas!$A$3:$I$161, 6, FALSE)</f>
        <v>110</v>
      </c>
      <c r="H107" s="34">
        <f t="shared" ca="1" si="30"/>
        <v>107</v>
      </c>
      <c r="I107" s="33">
        <f ca="1">VLOOKUP($B107, Rekap_Tugas!$A$3:$I$161, 7, FALSE)</f>
        <v>102</v>
      </c>
      <c r="J107" s="33">
        <f ca="1">VLOOKUP($B107, Rekap_Tugas!$A$3:$I$161, 8, FALSE)</f>
        <v>111</v>
      </c>
      <c r="K107" s="33">
        <f ca="1">VLOOKUP($B107, Rekap_Tugas!$A$3:$I$161, 9, FALSE)</f>
        <v>90.5</v>
      </c>
      <c r="L107" s="35">
        <f t="shared" ca="1" si="31"/>
        <v>101.16666666666667</v>
      </c>
      <c r="M107" s="36">
        <f>VLOOKUP(B107,UTS!$B$5:$M$163,12,FALSE)</f>
        <v>95</v>
      </c>
      <c r="N107" s="37">
        <f>VLOOKUP(B107,UAS!$B$5:$L$163,11,FALSE)</f>
        <v>87.5</v>
      </c>
      <c r="O107" s="38" t="s">
        <v>17</v>
      </c>
      <c r="P107" s="39">
        <v>80</v>
      </c>
      <c r="Q107" s="43">
        <v>24</v>
      </c>
      <c r="R107" s="36">
        <f t="shared" si="32"/>
        <v>88.888888888888886</v>
      </c>
      <c r="S107" s="35">
        <f t="shared" ca="1" si="33"/>
        <v>94.478472222222223</v>
      </c>
      <c r="T107" s="24" t="str">
        <f>VLOOKUP(B107,UAS!$B$5:$M$163,12,FALSE)</f>
        <v>A</v>
      </c>
      <c r="U107" s="40" t="str">
        <f t="shared" ca="1" si="34"/>
        <v>A</v>
      </c>
      <c r="V107" s="41" t="str">
        <f t="shared" si="35"/>
        <v>Farizki Kurniawan</v>
      </c>
      <c r="W107" s="42">
        <f t="shared" si="36"/>
        <v>13521082</v>
      </c>
      <c r="X107" s="42">
        <f t="shared" si="37"/>
        <v>22</v>
      </c>
      <c r="Y107" s="12"/>
      <c r="Z107" s="2"/>
    </row>
    <row r="108" spans="1:26" ht="15" x14ac:dyDescent="0.25">
      <c r="A108" s="30">
        <v>23</v>
      </c>
      <c r="B108" s="30">
        <v>13521084</v>
      </c>
      <c r="C108" s="31" t="s">
        <v>167</v>
      </c>
      <c r="D108" s="32" t="s">
        <v>8</v>
      </c>
      <c r="E108" s="33">
        <f ca="1">VLOOKUP($B108, Rekap_Tugas!$A$3:$I$161, 4, FALSE)</f>
        <v>79</v>
      </c>
      <c r="F108" s="33">
        <f ca="1">VLOOKUP($B108, Rekap_Tugas!$A$3:$I$161, 5, FALSE)</f>
        <v>115</v>
      </c>
      <c r="G108" s="33">
        <f ca="1">VLOOKUP($B108, Rekap_Tugas!$A$3:$I$161, 6, FALSE)</f>
        <v>105</v>
      </c>
      <c r="H108" s="34">
        <f t="shared" ca="1" si="30"/>
        <v>99.666666666666671</v>
      </c>
      <c r="I108" s="33">
        <f ca="1">VLOOKUP($B108, Rekap_Tugas!$A$3:$I$161, 7, FALSE)</f>
        <v>105</v>
      </c>
      <c r="J108" s="33">
        <f ca="1">VLOOKUP($B108, Rekap_Tugas!$A$3:$I$161, 8, FALSE)</f>
        <v>108</v>
      </c>
      <c r="K108" s="33">
        <f ca="1">VLOOKUP($B108, Rekap_Tugas!$A$3:$I$161, 9, FALSE)</f>
        <v>82</v>
      </c>
      <c r="L108" s="35">
        <f t="shared" ca="1" si="31"/>
        <v>98.333333333333329</v>
      </c>
      <c r="M108" s="36">
        <f>VLOOKUP(B108,UTS!$B$5:$M$163,12,FALSE)</f>
        <v>72.5</v>
      </c>
      <c r="N108" s="37">
        <f>VLOOKUP(B108,UAS!$B$5:$L$163,11,FALSE)</f>
        <v>68.5</v>
      </c>
      <c r="O108" s="38" t="s">
        <v>44</v>
      </c>
      <c r="P108" s="39">
        <v>90</v>
      </c>
      <c r="Q108" s="43">
        <v>26</v>
      </c>
      <c r="R108" s="36">
        <f t="shared" si="32"/>
        <v>96.296296296296291</v>
      </c>
      <c r="S108" s="35">
        <f t="shared" ca="1" si="33"/>
        <v>80.669907407407393</v>
      </c>
      <c r="T108" s="24" t="str">
        <f>VLOOKUP(B108,UAS!$B$5:$M$163,12,FALSE)</f>
        <v>AB</v>
      </c>
      <c r="U108" s="40" t="str">
        <f t="shared" ca="1" si="34"/>
        <v>AB</v>
      </c>
      <c r="V108" s="41" t="str">
        <f t="shared" si="35"/>
        <v>Austin Gabriel Pardosi</v>
      </c>
      <c r="W108" s="42">
        <f t="shared" si="36"/>
        <v>13521084</v>
      </c>
      <c r="X108" s="42">
        <f t="shared" si="37"/>
        <v>23</v>
      </c>
      <c r="Y108" s="12"/>
      <c r="Z108" s="2"/>
    </row>
    <row r="109" spans="1:26" ht="15" x14ac:dyDescent="0.25">
      <c r="A109" s="30">
        <v>24</v>
      </c>
      <c r="B109" s="30">
        <v>13521086</v>
      </c>
      <c r="C109" s="31" t="s">
        <v>193</v>
      </c>
      <c r="D109" s="32" t="s">
        <v>8</v>
      </c>
      <c r="E109" s="33">
        <f ca="1">VLOOKUP($B109, Rekap_Tugas!$A$3:$I$161, 4, FALSE)</f>
        <v>94.5</v>
      </c>
      <c r="F109" s="33">
        <f ca="1">VLOOKUP($B109, Rekap_Tugas!$A$3:$I$161, 5, FALSE)</f>
        <v>113</v>
      </c>
      <c r="G109" s="33">
        <f ca="1">VLOOKUP($B109, Rekap_Tugas!$A$3:$I$161, 6, FALSE)</f>
        <v>94</v>
      </c>
      <c r="H109" s="34">
        <f t="shared" ca="1" si="30"/>
        <v>100.5</v>
      </c>
      <c r="I109" s="33">
        <f ca="1">VLOOKUP($B109, Rekap_Tugas!$A$3:$I$161, 7, FALSE)</f>
        <v>93</v>
      </c>
      <c r="J109" s="33">
        <f ca="1">VLOOKUP($B109, Rekap_Tugas!$A$3:$I$161, 8, FALSE)</f>
        <v>107</v>
      </c>
      <c r="K109" s="33">
        <f ca="1">VLOOKUP($B109, Rekap_Tugas!$A$3:$I$161, 9, FALSE)</f>
        <v>97</v>
      </c>
      <c r="L109" s="35">
        <f t="shared" ca="1" si="31"/>
        <v>99</v>
      </c>
      <c r="M109" s="36">
        <f>VLOOKUP(B109,UTS!$B$5:$M$163,12,FALSE)</f>
        <v>52</v>
      </c>
      <c r="N109" s="37">
        <f>VLOOKUP(B109,UAS!$B$5:$L$163,11,FALSE)</f>
        <v>73</v>
      </c>
      <c r="O109" s="38" t="s">
        <v>17</v>
      </c>
      <c r="P109" s="39">
        <v>80</v>
      </c>
      <c r="Q109" s="43">
        <v>24</v>
      </c>
      <c r="R109" s="36">
        <f t="shared" si="32"/>
        <v>88.888888888888886</v>
      </c>
      <c r="S109" s="53">
        <f t="shared" ca="1" si="33"/>
        <v>75.209722222222226</v>
      </c>
      <c r="T109" s="24" t="str">
        <f>VLOOKUP(B109,UAS!$B$5:$M$163,12,FALSE)</f>
        <v>A</v>
      </c>
      <c r="U109" s="40" t="str">
        <f t="shared" ca="1" si="34"/>
        <v>B</v>
      </c>
      <c r="V109" s="41" t="str">
        <f t="shared" si="35"/>
        <v>Ariel Jovananda</v>
      </c>
      <c r="W109" s="42">
        <f t="shared" si="36"/>
        <v>13521086</v>
      </c>
      <c r="X109" s="42">
        <f t="shared" si="37"/>
        <v>24</v>
      </c>
      <c r="Y109" s="12"/>
      <c r="Z109" s="2"/>
    </row>
    <row r="110" spans="1:26" ht="15" x14ac:dyDescent="0.25">
      <c r="A110" s="30">
        <v>25</v>
      </c>
      <c r="B110" s="30">
        <v>13521088</v>
      </c>
      <c r="C110" s="31" t="s">
        <v>115</v>
      </c>
      <c r="D110" s="32" t="s">
        <v>8</v>
      </c>
      <c r="E110" s="33">
        <f ca="1">VLOOKUP($B110, Rekap_Tugas!$A$3:$I$161, 4, FALSE)</f>
        <v>94</v>
      </c>
      <c r="F110" s="33">
        <f ca="1">VLOOKUP($B110, Rekap_Tugas!$A$3:$I$161, 5, FALSE)</f>
        <v>115</v>
      </c>
      <c r="G110" s="33">
        <f ca="1">VLOOKUP($B110, Rekap_Tugas!$A$3:$I$161, 6, FALSE)</f>
        <v>104</v>
      </c>
      <c r="H110" s="34">
        <f t="shared" ca="1" si="30"/>
        <v>104.33333333333333</v>
      </c>
      <c r="I110" s="33">
        <f ca="1">VLOOKUP($B110, Rekap_Tugas!$A$3:$I$161, 7, FALSE)</f>
        <v>110</v>
      </c>
      <c r="J110" s="33">
        <f ca="1">VLOOKUP($B110, Rekap_Tugas!$A$3:$I$161, 8, FALSE)</f>
        <v>109</v>
      </c>
      <c r="K110" s="33">
        <f ca="1">VLOOKUP($B110, Rekap_Tugas!$A$3:$I$161, 9, FALSE)</f>
        <v>105.5</v>
      </c>
      <c r="L110" s="35">
        <f t="shared" ca="1" si="31"/>
        <v>108.16666666666667</v>
      </c>
      <c r="M110" s="36">
        <f>VLOOKUP(B110,UTS!$B$5:$M$163,12,FALSE)</f>
        <v>71.5</v>
      </c>
      <c r="N110" s="37">
        <f>VLOOKUP(B110,UAS!$B$5:$L$163,11,FALSE)</f>
        <v>86</v>
      </c>
      <c r="O110" s="38" t="s">
        <v>44</v>
      </c>
      <c r="P110" s="39">
        <v>90</v>
      </c>
      <c r="Q110" s="43">
        <v>25</v>
      </c>
      <c r="R110" s="36">
        <f t="shared" si="32"/>
        <v>92.592592592592595</v>
      </c>
      <c r="S110" s="35">
        <f t="shared" ca="1" si="33"/>
        <v>87.90856481481481</v>
      </c>
      <c r="T110" s="24" t="str">
        <f>VLOOKUP(B110,UAS!$B$5:$M$163,12,FALSE)</f>
        <v>A</v>
      </c>
      <c r="U110" s="40" t="str">
        <f t="shared" ca="1" si="34"/>
        <v>A</v>
      </c>
      <c r="V110" s="41" t="str">
        <f t="shared" si="35"/>
        <v>Puti Nabilla Aidira</v>
      </c>
      <c r="W110" s="42">
        <f t="shared" si="36"/>
        <v>13521088</v>
      </c>
      <c r="X110" s="42">
        <f t="shared" si="37"/>
        <v>25</v>
      </c>
      <c r="Y110" s="12"/>
      <c r="Z110" s="2"/>
    </row>
    <row r="111" spans="1:26" ht="15" x14ac:dyDescent="0.25">
      <c r="A111" s="30">
        <v>26</v>
      </c>
      <c r="B111" s="30">
        <v>13521090</v>
      </c>
      <c r="C111" s="31" t="s">
        <v>106</v>
      </c>
      <c r="D111" s="32" t="s">
        <v>8</v>
      </c>
      <c r="E111" s="33">
        <f ca="1">VLOOKUP($B111, Rekap_Tugas!$A$3:$I$161, 4, FALSE)</f>
        <v>86.5</v>
      </c>
      <c r="F111" s="33">
        <f ca="1">VLOOKUP($B111, Rekap_Tugas!$A$3:$I$161, 5, FALSE)</f>
        <v>109</v>
      </c>
      <c r="G111" s="33">
        <f ca="1">VLOOKUP($B111, Rekap_Tugas!$A$3:$I$161, 6, FALSE)</f>
        <v>108</v>
      </c>
      <c r="H111" s="34">
        <f t="shared" ca="1" si="30"/>
        <v>101.16666666666667</v>
      </c>
      <c r="I111" s="33">
        <f ca="1">VLOOKUP($B111, Rekap_Tugas!$A$3:$I$161, 7, FALSE)</f>
        <v>97</v>
      </c>
      <c r="J111" s="33">
        <f ca="1">VLOOKUP($B111, Rekap_Tugas!$A$3:$I$161, 8, FALSE)</f>
        <v>107</v>
      </c>
      <c r="K111" s="33">
        <f ca="1">VLOOKUP($B111, Rekap_Tugas!$A$3:$I$161, 9, FALSE)</f>
        <v>94.5</v>
      </c>
      <c r="L111" s="35">
        <f t="shared" ca="1" si="31"/>
        <v>99.5</v>
      </c>
      <c r="M111" s="36">
        <f>VLOOKUP(B111,UTS!$B$5:$M$163,12,FALSE)</f>
        <v>74</v>
      </c>
      <c r="N111" s="37">
        <f>VLOOKUP(B111,UAS!$B$5:$L$163,11,FALSE)</f>
        <v>95</v>
      </c>
      <c r="O111" s="38" t="s">
        <v>17</v>
      </c>
      <c r="P111" s="39">
        <v>80</v>
      </c>
      <c r="Q111" s="43">
        <v>27</v>
      </c>
      <c r="R111" s="36">
        <f t="shared" si="32"/>
        <v>100</v>
      </c>
      <c r="S111" s="35">
        <f t="shared" ca="1" si="33"/>
        <v>89.412499999999994</v>
      </c>
      <c r="T111" s="24" t="str">
        <f>VLOOKUP(B111,UAS!$B$5:$M$163,12,FALSE)</f>
        <v>A</v>
      </c>
      <c r="U111" s="40" t="str">
        <f t="shared" ca="1" si="34"/>
        <v>A</v>
      </c>
      <c r="V111" s="41" t="str">
        <f t="shared" si="35"/>
        <v>Tobias Natalio Sianipar</v>
      </c>
      <c r="W111" s="42">
        <f t="shared" si="36"/>
        <v>13521090</v>
      </c>
      <c r="X111" s="42">
        <f t="shared" si="37"/>
        <v>26</v>
      </c>
      <c r="Y111" s="12"/>
      <c r="Z111" s="2"/>
    </row>
    <row r="112" spans="1:26" ht="15" x14ac:dyDescent="0.25">
      <c r="A112" s="30">
        <v>27</v>
      </c>
      <c r="B112" s="30">
        <v>13521092</v>
      </c>
      <c r="C112" s="31" t="s">
        <v>93</v>
      </c>
      <c r="D112" s="32" t="s">
        <v>8</v>
      </c>
      <c r="E112" s="33">
        <f ca="1">VLOOKUP($B112, Rekap_Tugas!$A$3:$I$161, 4, FALSE)</f>
        <v>86</v>
      </c>
      <c r="F112" s="33">
        <f ca="1">VLOOKUP($B112, Rekap_Tugas!$A$3:$I$161, 5, FALSE)</f>
        <v>115</v>
      </c>
      <c r="G112" s="33">
        <f ca="1">VLOOKUP($B112, Rekap_Tugas!$A$3:$I$161, 6, FALSE)</f>
        <v>110</v>
      </c>
      <c r="H112" s="34">
        <f t="shared" ca="1" si="30"/>
        <v>103.66666666666667</v>
      </c>
      <c r="I112" s="33">
        <f ca="1">VLOOKUP($B112, Rekap_Tugas!$A$3:$I$161, 7, FALSE)</f>
        <v>107</v>
      </c>
      <c r="J112" s="33">
        <f ca="1">VLOOKUP($B112, Rekap_Tugas!$A$3:$I$161, 8, FALSE)</f>
        <v>109</v>
      </c>
      <c r="K112" s="33">
        <f ca="1">VLOOKUP($B112, Rekap_Tugas!$A$3:$I$161, 9, FALSE)</f>
        <v>90.5</v>
      </c>
      <c r="L112" s="35">
        <f t="shared" ca="1" si="31"/>
        <v>102.16666666666667</v>
      </c>
      <c r="M112" s="36">
        <f>VLOOKUP(B112,UTS!$B$5:$M$163,12,FALSE)</f>
        <v>83</v>
      </c>
      <c r="N112" s="37">
        <f>VLOOKUP(B112,UAS!$B$5:$L$163,11,FALSE)</f>
        <v>87.5</v>
      </c>
      <c r="O112" s="38" t="s">
        <v>18</v>
      </c>
      <c r="P112" s="39">
        <v>85</v>
      </c>
      <c r="Q112" s="43">
        <v>27</v>
      </c>
      <c r="R112" s="36">
        <f t="shared" si="32"/>
        <v>100</v>
      </c>
      <c r="S112" s="35">
        <f t="shared" ca="1" si="33"/>
        <v>90.90625</v>
      </c>
      <c r="T112" s="24" t="str">
        <f>VLOOKUP(B112,UAS!$B$5:$M$163,12,FALSE)</f>
        <v>A</v>
      </c>
      <c r="U112" s="40" t="str">
        <f t="shared" ca="1" si="34"/>
        <v>A</v>
      </c>
      <c r="V112" s="41" t="str">
        <f t="shared" si="35"/>
        <v>Frankie Huang</v>
      </c>
      <c r="W112" s="42">
        <f t="shared" si="36"/>
        <v>13521092</v>
      </c>
      <c r="X112" s="42">
        <f t="shared" si="37"/>
        <v>27</v>
      </c>
      <c r="Y112" s="12"/>
      <c r="Z112" s="2"/>
    </row>
    <row r="113" spans="1:26" ht="15" x14ac:dyDescent="0.25">
      <c r="A113" s="30">
        <v>28</v>
      </c>
      <c r="B113" s="30">
        <v>13521094</v>
      </c>
      <c r="C113" s="31" t="s">
        <v>54</v>
      </c>
      <c r="D113" s="32" t="s">
        <v>8</v>
      </c>
      <c r="E113" s="33">
        <f ca="1">VLOOKUP($B113, Rekap_Tugas!$A$3:$I$161, 4, FALSE)</f>
        <v>98.5</v>
      </c>
      <c r="F113" s="33">
        <f ca="1">VLOOKUP($B113, Rekap_Tugas!$A$3:$I$161, 5, FALSE)</f>
        <v>113</v>
      </c>
      <c r="G113" s="33">
        <f ca="1">VLOOKUP($B113, Rekap_Tugas!$A$3:$I$161, 6, FALSE)</f>
        <v>106</v>
      </c>
      <c r="H113" s="34">
        <f t="shared" ca="1" si="30"/>
        <v>105.83333333333333</v>
      </c>
      <c r="I113" s="33">
        <f ca="1">VLOOKUP($B113, Rekap_Tugas!$A$3:$I$161, 7, FALSE)</f>
        <v>102</v>
      </c>
      <c r="J113" s="33">
        <f ca="1">VLOOKUP($B113, Rekap_Tugas!$A$3:$I$161, 8, FALSE)</f>
        <v>112</v>
      </c>
      <c r="K113" s="33">
        <f ca="1">VLOOKUP($B113, Rekap_Tugas!$A$3:$I$161, 9, FALSE)</f>
        <v>110</v>
      </c>
      <c r="L113" s="35">
        <f t="shared" ca="1" si="31"/>
        <v>108</v>
      </c>
      <c r="M113" s="36">
        <f>VLOOKUP(B113,UTS!$B$5:$M$163,12,FALSE)</f>
        <v>92</v>
      </c>
      <c r="N113" s="37">
        <f>VLOOKUP(B113,UAS!$B$5:$L$163,11,FALSE)</f>
        <v>98</v>
      </c>
      <c r="O113" s="38" t="s">
        <v>17</v>
      </c>
      <c r="P113" s="39">
        <v>80</v>
      </c>
      <c r="Q113" s="43">
        <v>22</v>
      </c>
      <c r="R113" s="36">
        <f t="shared" si="32"/>
        <v>81.481481481481481</v>
      </c>
      <c r="S113" s="35">
        <f t="shared" ca="1" si="33"/>
        <v>97.487037037037027</v>
      </c>
      <c r="T113" s="24" t="str">
        <f>VLOOKUP(B113,UAS!$B$5:$M$163,12,FALSE)</f>
        <v>A</v>
      </c>
      <c r="U113" s="40" t="str">
        <f t="shared" ca="1" si="34"/>
        <v>A</v>
      </c>
      <c r="V113" s="41" t="str">
        <f t="shared" si="35"/>
        <v>Angela Livia Arumsari</v>
      </c>
      <c r="W113" s="42">
        <f t="shared" si="36"/>
        <v>13521094</v>
      </c>
      <c r="X113" s="42">
        <f t="shared" si="37"/>
        <v>28</v>
      </c>
      <c r="Y113" s="12"/>
      <c r="Z113" s="2"/>
    </row>
    <row r="114" spans="1:26" ht="15" x14ac:dyDescent="0.25">
      <c r="A114" s="30">
        <v>29</v>
      </c>
      <c r="B114" s="30">
        <v>13521096</v>
      </c>
      <c r="C114" s="31" t="s">
        <v>112</v>
      </c>
      <c r="D114" s="32" t="s">
        <v>8</v>
      </c>
      <c r="E114" s="33">
        <f ca="1">VLOOKUP($B114, Rekap_Tugas!$A$3:$I$161, 4, FALSE)</f>
        <v>95.5</v>
      </c>
      <c r="F114" s="33">
        <f ca="1">VLOOKUP($B114, Rekap_Tugas!$A$3:$I$161, 5, FALSE)</f>
        <v>115</v>
      </c>
      <c r="G114" s="33">
        <f ca="1">VLOOKUP($B114, Rekap_Tugas!$A$3:$I$161, 6, FALSE)</f>
        <v>105</v>
      </c>
      <c r="H114" s="34">
        <f t="shared" ca="1" si="30"/>
        <v>105.16666666666667</v>
      </c>
      <c r="I114" s="33">
        <f ca="1">VLOOKUP($B114, Rekap_Tugas!$A$3:$I$161, 7, FALSE)</f>
        <v>100</v>
      </c>
      <c r="J114" s="33">
        <f ca="1">VLOOKUP($B114, Rekap_Tugas!$A$3:$I$161, 8, FALSE)</f>
        <v>108</v>
      </c>
      <c r="K114" s="33">
        <f ca="1">VLOOKUP($B114, Rekap_Tugas!$A$3:$I$161, 9, FALSE)</f>
        <v>108</v>
      </c>
      <c r="L114" s="35">
        <f t="shared" ca="1" si="31"/>
        <v>105.33333333333333</v>
      </c>
      <c r="M114" s="36">
        <f>VLOOKUP(B114,UTS!$B$5:$M$163,12,FALSE)</f>
        <v>91.5</v>
      </c>
      <c r="N114" s="37">
        <f>VLOOKUP(B114,UAS!$B$5:$L$163,11,FALSE)</f>
        <v>72.5</v>
      </c>
      <c r="O114" s="38" t="s">
        <v>17</v>
      </c>
      <c r="P114" s="39">
        <v>80</v>
      </c>
      <c r="Q114" s="43">
        <v>25</v>
      </c>
      <c r="R114" s="36">
        <f t="shared" si="32"/>
        <v>92.592592592592595</v>
      </c>
      <c r="S114" s="35">
        <f t="shared" ca="1" si="33"/>
        <v>89.139814814814812</v>
      </c>
      <c r="T114" s="24" t="str">
        <f>VLOOKUP(B114,UAS!$B$5:$M$163,12,FALSE)</f>
        <v>A</v>
      </c>
      <c r="U114" s="40" t="str">
        <f t="shared" ca="1" si="34"/>
        <v>A</v>
      </c>
      <c r="V114" s="41" t="str">
        <f t="shared" si="35"/>
        <v>Noel Christoffel Simbolon</v>
      </c>
      <c r="W114" s="42">
        <f t="shared" si="36"/>
        <v>13521096</v>
      </c>
      <c r="X114" s="42">
        <f t="shared" si="37"/>
        <v>29</v>
      </c>
      <c r="Y114" s="12"/>
      <c r="Z114" s="2"/>
    </row>
    <row r="115" spans="1:26" ht="15" x14ac:dyDescent="0.25">
      <c r="A115" s="30">
        <v>30</v>
      </c>
      <c r="B115" s="30">
        <v>13521098</v>
      </c>
      <c r="C115" s="31" t="s">
        <v>203</v>
      </c>
      <c r="D115" s="32" t="s">
        <v>8</v>
      </c>
      <c r="E115" s="33">
        <f ca="1">VLOOKUP($B115, Rekap_Tugas!$A$3:$I$161, 4, FALSE)</f>
        <v>0</v>
      </c>
      <c r="F115" s="33">
        <f ca="1">VLOOKUP($B115, Rekap_Tugas!$A$3:$I$161, 5, FALSE)</f>
        <v>73</v>
      </c>
      <c r="G115" s="33">
        <f ca="1">VLOOKUP($B115, Rekap_Tugas!$A$3:$I$161, 6, FALSE)</f>
        <v>99</v>
      </c>
      <c r="H115" s="34">
        <f t="shared" ca="1" si="30"/>
        <v>57.333333333333336</v>
      </c>
      <c r="I115" s="33">
        <f ca="1">VLOOKUP($B115, Rekap_Tugas!$A$3:$I$161, 7, FALSE)</f>
        <v>100</v>
      </c>
      <c r="J115" s="33">
        <f ca="1">VLOOKUP($B115, Rekap_Tugas!$A$3:$I$161, 8, FALSE)</f>
        <v>102</v>
      </c>
      <c r="K115" s="33">
        <f ca="1">VLOOKUP($B115, Rekap_Tugas!$A$3:$I$161, 9, FALSE)</f>
        <v>76</v>
      </c>
      <c r="L115" s="35">
        <f t="shared" ca="1" si="31"/>
        <v>92.666666666666671</v>
      </c>
      <c r="M115" s="36">
        <f>VLOOKUP(B115,UTS!$B$5:$M$163,12,FALSE)</f>
        <v>67</v>
      </c>
      <c r="N115" s="37">
        <f>VLOOKUP(B115,UAS!$B$5:$L$163,11,FALSE)</f>
        <v>62</v>
      </c>
      <c r="O115" s="38" t="s">
        <v>15</v>
      </c>
      <c r="P115" s="39">
        <v>75</v>
      </c>
      <c r="Q115" s="43">
        <v>23</v>
      </c>
      <c r="R115" s="36">
        <f t="shared" si="32"/>
        <v>85.18518518518519</v>
      </c>
      <c r="S115" s="9">
        <f t="shared" ca="1" si="33"/>
        <v>68.692129629629633</v>
      </c>
      <c r="T115" s="24" t="str">
        <f>VLOOKUP(B115,UAS!$B$5:$M$163,12,FALSE)</f>
        <v>B</v>
      </c>
      <c r="U115" s="40" t="str">
        <f t="shared" ca="1" si="34"/>
        <v>BC</v>
      </c>
      <c r="V115" s="41" t="str">
        <f t="shared" si="35"/>
        <v>Fazel Ginanda</v>
      </c>
      <c r="W115" s="42">
        <f t="shared" si="36"/>
        <v>13521098</v>
      </c>
      <c r="X115" s="42">
        <f t="shared" si="37"/>
        <v>30</v>
      </c>
      <c r="Y115" s="12"/>
      <c r="Z115" s="2"/>
    </row>
    <row r="116" spans="1:26" ht="15" x14ac:dyDescent="0.25">
      <c r="A116" s="30">
        <v>31</v>
      </c>
      <c r="B116" s="30">
        <v>13521100</v>
      </c>
      <c r="C116" s="31" t="s">
        <v>63</v>
      </c>
      <c r="D116" s="32" t="s">
        <v>8</v>
      </c>
      <c r="E116" s="33">
        <f ca="1">VLOOKUP($B116, Rekap_Tugas!$A$3:$I$161, 4, FALSE)</f>
        <v>98.5</v>
      </c>
      <c r="F116" s="33">
        <f ca="1">VLOOKUP($B116, Rekap_Tugas!$A$3:$I$161, 5, FALSE)</f>
        <v>111</v>
      </c>
      <c r="G116" s="33">
        <f ca="1">VLOOKUP($B116, Rekap_Tugas!$A$3:$I$161, 6, FALSE)</f>
        <v>107</v>
      </c>
      <c r="H116" s="34">
        <f t="shared" ca="1" si="30"/>
        <v>105.5</v>
      </c>
      <c r="I116" s="33">
        <f ca="1">VLOOKUP($B116, Rekap_Tugas!$A$3:$I$161, 7, FALSE)</f>
        <v>102</v>
      </c>
      <c r="J116" s="33">
        <f ca="1">VLOOKUP($B116, Rekap_Tugas!$A$3:$I$161, 8, FALSE)</f>
        <v>112</v>
      </c>
      <c r="K116" s="33">
        <f ca="1">VLOOKUP($B116, Rekap_Tugas!$A$3:$I$161, 9, FALSE)</f>
        <v>108.5</v>
      </c>
      <c r="L116" s="35">
        <f t="shared" ca="1" si="31"/>
        <v>107.5</v>
      </c>
      <c r="M116" s="36">
        <f>VLOOKUP(B116,UTS!$B$5:$M$163,12,FALSE)</f>
        <v>90</v>
      </c>
      <c r="N116" s="37">
        <f>VLOOKUP(B116,UAS!$B$5:$L$163,11,FALSE)</f>
        <v>92</v>
      </c>
      <c r="O116" s="38" t="s">
        <v>53</v>
      </c>
      <c r="P116" s="39">
        <v>85</v>
      </c>
      <c r="Q116" s="43">
        <v>27</v>
      </c>
      <c r="R116" s="36">
        <f t="shared" si="32"/>
        <v>100</v>
      </c>
      <c r="S116" s="35">
        <f t="shared" ca="1" si="33"/>
        <v>95.575000000000003</v>
      </c>
      <c r="T116" s="24" t="str">
        <f>VLOOKUP(B116,UAS!$B$5:$M$163,12,FALSE)</f>
        <v>A</v>
      </c>
      <c r="U116" s="40" t="str">
        <f t="shared" ca="1" si="34"/>
        <v>A</v>
      </c>
      <c r="V116" s="41" t="str">
        <f t="shared" si="35"/>
        <v>Alexander Jason</v>
      </c>
      <c r="W116" s="42">
        <f t="shared" si="36"/>
        <v>13521100</v>
      </c>
      <c r="X116" s="42">
        <f t="shared" si="37"/>
        <v>31</v>
      </c>
      <c r="Y116" s="12"/>
      <c r="Z116" s="2"/>
    </row>
    <row r="117" spans="1:26" ht="15" x14ac:dyDescent="0.25">
      <c r="A117" s="30">
        <v>32</v>
      </c>
      <c r="B117" s="30">
        <v>13521102</v>
      </c>
      <c r="C117" s="31" t="s">
        <v>91</v>
      </c>
      <c r="D117" s="32" t="s">
        <v>8</v>
      </c>
      <c r="E117" s="33">
        <f ca="1">VLOOKUP($B117, Rekap_Tugas!$A$3:$I$161, 4, FALSE)</f>
        <v>84</v>
      </c>
      <c r="F117" s="33">
        <f ca="1">VLOOKUP($B117, Rekap_Tugas!$A$3:$I$161, 5, FALSE)</f>
        <v>111</v>
      </c>
      <c r="G117" s="33">
        <f ca="1">VLOOKUP($B117, Rekap_Tugas!$A$3:$I$161, 6, FALSE)</f>
        <v>109</v>
      </c>
      <c r="H117" s="34">
        <f t="shared" ref="H117:H148" ca="1" si="38">AVERAGE(E117:G117)</f>
        <v>101.33333333333333</v>
      </c>
      <c r="I117" s="33">
        <f ca="1">VLOOKUP($B117, Rekap_Tugas!$A$3:$I$161, 7, FALSE)</f>
        <v>102</v>
      </c>
      <c r="J117" s="33">
        <f ca="1">VLOOKUP($B117, Rekap_Tugas!$A$3:$I$161, 8, FALSE)</f>
        <v>113</v>
      </c>
      <c r="K117" s="33">
        <f ca="1">VLOOKUP($B117, Rekap_Tugas!$A$3:$I$161, 9, FALSE)</f>
        <v>102.5</v>
      </c>
      <c r="L117" s="35">
        <f t="shared" ref="L117:L148" ca="1" si="39">AVERAGE(I117:K117)</f>
        <v>105.83333333333333</v>
      </c>
      <c r="M117" s="36">
        <f>VLOOKUP(B117,UTS!$B$5:$M$163,12,FALSE)</f>
        <v>84.5</v>
      </c>
      <c r="N117" s="37">
        <f>VLOOKUP(B117,UAS!$B$5:$L$163,11,FALSE)</f>
        <v>87</v>
      </c>
      <c r="O117" s="38" t="s">
        <v>18</v>
      </c>
      <c r="P117" s="39">
        <v>85</v>
      </c>
      <c r="Q117" s="43">
        <v>25</v>
      </c>
      <c r="R117" s="36">
        <f t="shared" ref="R117:R148" si="40">(Q117/27)*100</f>
        <v>92.592592592592595</v>
      </c>
      <c r="S117" s="35">
        <f t="shared" ref="S117:S148" ca="1" si="41">$H$16*H117+$L$16*L117+$M$16*M117+$N$16*N117+$P$16*P117+$R$16*R117</f>
        <v>91.233564814814798</v>
      </c>
      <c r="T117" s="24" t="str">
        <f>VLOOKUP(B117,UAS!$B$5:$M$163,12,FALSE)</f>
        <v>A</v>
      </c>
      <c r="U117" s="40" t="str">
        <f t="shared" ref="U117:U148" ca="1" si="42">VLOOKUP(S117,$T$4:$U$10,2)</f>
        <v>A</v>
      </c>
      <c r="V117" s="41" t="str">
        <f t="shared" ref="V117:V148" si="43">C117</f>
        <v>Jimly Firdaus</v>
      </c>
      <c r="W117" s="42">
        <f t="shared" ref="W117:W148" si="44">B117</f>
        <v>13521102</v>
      </c>
      <c r="X117" s="42">
        <f t="shared" ref="X117:X148" si="45">A117</f>
        <v>32</v>
      </c>
      <c r="Y117" s="12"/>
      <c r="Z117" s="2"/>
    </row>
    <row r="118" spans="1:26" ht="15" x14ac:dyDescent="0.25">
      <c r="A118" s="30">
        <v>33</v>
      </c>
      <c r="B118" s="30">
        <v>13521104</v>
      </c>
      <c r="C118" s="31" t="s">
        <v>181</v>
      </c>
      <c r="D118" s="32" t="s">
        <v>8</v>
      </c>
      <c r="E118" s="33">
        <f ca="1">VLOOKUP($B118, Rekap_Tugas!$A$3:$I$161, 4, FALSE)</f>
        <v>94.5</v>
      </c>
      <c r="F118" s="33">
        <f ca="1">VLOOKUP($B118, Rekap_Tugas!$A$3:$I$161, 5, FALSE)</f>
        <v>113</v>
      </c>
      <c r="G118" s="33">
        <f ca="1">VLOOKUP($B118, Rekap_Tugas!$A$3:$I$161, 6, FALSE)</f>
        <v>110</v>
      </c>
      <c r="H118" s="34">
        <f t="shared" ca="1" si="38"/>
        <v>105.83333333333333</v>
      </c>
      <c r="I118" s="33">
        <f ca="1">VLOOKUP($B118, Rekap_Tugas!$A$3:$I$161, 7, FALSE)</f>
        <v>101</v>
      </c>
      <c r="J118" s="33">
        <f ca="1">VLOOKUP($B118, Rekap_Tugas!$A$3:$I$161, 8, FALSE)</f>
        <v>112.5</v>
      </c>
      <c r="K118" s="33">
        <f ca="1">VLOOKUP($B118, Rekap_Tugas!$A$3:$I$161, 9, FALSE)</f>
        <v>98.5</v>
      </c>
      <c r="L118" s="35">
        <f t="shared" ca="1" si="39"/>
        <v>104</v>
      </c>
      <c r="M118" s="36">
        <f>VLOOKUP(B118,UTS!$B$5:$M$163,12,FALSE)</f>
        <v>46</v>
      </c>
      <c r="N118" s="37">
        <f>VLOOKUP(B118,UAS!$B$5:$L$163,11,FALSE)</f>
        <v>80.5</v>
      </c>
      <c r="O118" s="38" t="s">
        <v>17</v>
      </c>
      <c r="P118" s="39">
        <v>80</v>
      </c>
      <c r="Q118" s="43">
        <v>24</v>
      </c>
      <c r="R118" s="36">
        <f t="shared" si="40"/>
        <v>88.888888888888886</v>
      </c>
      <c r="S118" s="35">
        <f t="shared" ca="1" si="41"/>
        <v>77.228472222222223</v>
      </c>
      <c r="T118" s="24" t="str">
        <f>VLOOKUP(B118,UAS!$B$5:$M$163,12,FALSE)</f>
        <v>BC</v>
      </c>
      <c r="U118" s="40" t="str">
        <f t="shared" ca="1" si="42"/>
        <v>AB</v>
      </c>
      <c r="V118" s="41" t="str">
        <f t="shared" si="43"/>
        <v>Muhammad Zaydan Athallah</v>
      </c>
      <c r="W118" s="42">
        <f t="shared" si="44"/>
        <v>13521104</v>
      </c>
      <c r="X118" s="42">
        <f t="shared" si="45"/>
        <v>33</v>
      </c>
      <c r="Y118" s="12"/>
      <c r="Z118" s="2"/>
    </row>
    <row r="119" spans="1:26" ht="15" x14ac:dyDescent="0.25">
      <c r="A119" s="30">
        <v>34</v>
      </c>
      <c r="B119" s="30">
        <v>13521106</v>
      </c>
      <c r="C119" s="31" t="s">
        <v>110</v>
      </c>
      <c r="D119" s="32" t="s">
        <v>8</v>
      </c>
      <c r="E119" s="33">
        <f ca="1">VLOOKUP($B119, Rekap_Tugas!$A$3:$I$161, 4, FALSE)</f>
        <v>92</v>
      </c>
      <c r="F119" s="33">
        <f ca="1">VLOOKUP($B119, Rekap_Tugas!$A$3:$I$161, 5, FALSE)</f>
        <v>115</v>
      </c>
      <c r="G119" s="33">
        <f ca="1">VLOOKUP($B119, Rekap_Tugas!$A$3:$I$161, 6, FALSE)</f>
        <v>106</v>
      </c>
      <c r="H119" s="34">
        <f t="shared" ca="1" si="38"/>
        <v>104.33333333333333</v>
      </c>
      <c r="I119" s="33">
        <f ca="1">VLOOKUP($B119, Rekap_Tugas!$A$3:$I$161, 7, FALSE)</f>
        <v>98</v>
      </c>
      <c r="J119" s="33">
        <f ca="1">VLOOKUP($B119, Rekap_Tugas!$A$3:$I$161, 8, FALSE)</f>
        <v>108</v>
      </c>
      <c r="K119" s="33">
        <f ca="1">VLOOKUP($B119, Rekap_Tugas!$A$3:$I$161, 9, FALSE)</f>
        <v>101.5</v>
      </c>
      <c r="L119" s="35">
        <f t="shared" ca="1" si="39"/>
        <v>102.5</v>
      </c>
      <c r="M119" s="36">
        <f>VLOOKUP(B119,UTS!$B$5:$M$163,12,FALSE)</f>
        <v>93.5</v>
      </c>
      <c r="N119" s="37">
        <f>VLOOKUP(B119,UAS!$B$5:$L$163,11,FALSE)</f>
        <v>72.5</v>
      </c>
      <c r="O119" s="38" t="s">
        <v>18</v>
      </c>
      <c r="P119" s="39">
        <v>85</v>
      </c>
      <c r="Q119" s="43">
        <v>22</v>
      </c>
      <c r="R119" s="36">
        <f t="shared" si="40"/>
        <v>81.481481481481481</v>
      </c>
      <c r="S119" s="35">
        <f t="shared" ca="1" si="41"/>
        <v>89.187037037037044</v>
      </c>
      <c r="T119" s="24" t="str">
        <f>VLOOKUP(B119,UAS!$B$5:$M$163,12,FALSE)</f>
        <v>A</v>
      </c>
      <c r="U119" s="40" t="str">
        <f t="shared" ca="1" si="42"/>
        <v>A</v>
      </c>
      <c r="V119" s="41" t="str">
        <f t="shared" si="43"/>
        <v>Mohammad Farhan Fahrezy</v>
      </c>
      <c r="W119" s="42">
        <f t="shared" si="44"/>
        <v>13521106</v>
      </c>
      <c r="X119" s="42">
        <f t="shared" si="45"/>
        <v>34</v>
      </c>
      <c r="Y119" s="12"/>
      <c r="Z119" s="2"/>
    </row>
    <row r="120" spans="1:26" ht="15" x14ac:dyDescent="0.25">
      <c r="A120" s="30">
        <v>35</v>
      </c>
      <c r="B120" s="30">
        <v>13521108</v>
      </c>
      <c r="C120" s="31" t="s">
        <v>55</v>
      </c>
      <c r="D120" s="32" t="s">
        <v>8</v>
      </c>
      <c r="E120" s="33">
        <f ca="1">VLOOKUP($B120, Rekap_Tugas!$A$3:$I$161, 4, FALSE)</f>
        <v>98</v>
      </c>
      <c r="F120" s="33">
        <f ca="1">VLOOKUP($B120, Rekap_Tugas!$A$3:$I$161, 5, FALSE)</f>
        <v>114</v>
      </c>
      <c r="G120" s="33">
        <f ca="1">VLOOKUP($B120, Rekap_Tugas!$A$3:$I$161, 6, FALSE)</f>
        <v>110</v>
      </c>
      <c r="H120" s="34">
        <f t="shared" ca="1" si="38"/>
        <v>107.33333333333333</v>
      </c>
      <c r="I120" s="33">
        <f ca="1">VLOOKUP($B120, Rekap_Tugas!$A$3:$I$161, 7, FALSE)</f>
        <v>105</v>
      </c>
      <c r="J120" s="33">
        <f ca="1">VLOOKUP($B120, Rekap_Tugas!$A$3:$I$161, 8, FALSE)</f>
        <v>107</v>
      </c>
      <c r="K120" s="33">
        <f ca="1">VLOOKUP($B120, Rekap_Tugas!$A$3:$I$161, 9, FALSE)</f>
        <v>106.5</v>
      </c>
      <c r="L120" s="35">
        <f t="shared" ca="1" si="39"/>
        <v>106.16666666666667</v>
      </c>
      <c r="M120" s="36">
        <f>VLOOKUP(B120,UTS!$B$5:$M$163,12,FALSE)</f>
        <v>95</v>
      </c>
      <c r="N120" s="37">
        <f>VLOOKUP(B120,UAS!$B$5:$L$163,11,FALSE)</f>
        <v>91</v>
      </c>
      <c r="O120" s="38" t="s">
        <v>44</v>
      </c>
      <c r="P120" s="39">
        <v>90</v>
      </c>
      <c r="Q120" s="43">
        <v>27</v>
      </c>
      <c r="R120" s="36">
        <f t="shared" si="40"/>
        <v>100</v>
      </c>
      <c r="S120" s="35">
        <f t="shared" ca="1" si="41"/>
        <v>97.15</v>
      </c>
      <c r="T120" s="24" t="str">
        <f>VLOOKUP(B120,UAS!$B$5:$M$163,12,FALSE)</f>
        <v>A</v>
      </c>
      <c r="U120" s="40" t="str">
        <f t="shared" ca="1" si="42"/>
        <v>A</v>
      </c>
      <c r="V120" s="41" t="str">
        <f t="shared" si="43"/>
        <v>Michael Leon Putra Widhi</v>
      </c>
      <c r="W120" s="42">
        <f t="shared" si="44"/>
        <v>13521108</v>
      </c>
      <c r="X120" s="42">
        <f t="shared" si="45"/>
        <v>35</v>
      </c>
      <c r="Y120" s="12"/>
      <c r="Z120" s="2"/>
    </row>
    <row r="121" spans="1:26" ht="15" x14ac:dyDescent="0.25">
      <c r="A121" s="30">
        <v>36</v>
      </c>
      <c r="B121" s="30">
        <v>13521110</v>
      </c>
      <c r="C121" s="31" t="s">
        <v>67</v>
      </c>
      <c r="D121" s="32" t="s">
        <v>8</v>
      </c>
      <c r="E121" s="33">
        <f ca="1">VLOOKUP($B121, Rekap_Tugas!$A$3:$I$161, 4, FALSE)</f>
        <v>97.5</v>
      </c>
      <c r="F121" s="33">
        <f ca="1">VLOOKUP($B121, Rekap_Tugas!$A$3:$I$161, 5, FALSE)</f>
        <v>113</v>
      </c>
      <c r="G121" s="33">
        <f ca="1">VLOOKUP($B121, Rekap_Tugas!$A$3:$I$161, 6, FALSE)</f>
        <v>105</v>
      </c>
      <c r="H121" s="34">
        <f t="shared" ca="1" si="38"/>
        <v>105.16666666666667</v>
      </c>
      <c r="I121" s="33">
        <f ca="1">VLOOKUP($B121, Rekap_Tugas!$A$3:$I$161, 7, FALSE)</f>
        <v>104</v>
      </c>
      <c r="J121" s="33">
        <f ca="1">VLOOKUP($B121, Rekap_Tugas!$A$3:$I$161, 8, FALSE)</f>
        <v>97</v>
      </c>
      <c r="K121" s="33">
        <f ca="1">VLOOKUP($B121, Rekap_Tugas!$A$3:$I$161, 9, FALSE)</f>
        <v>96.5</v>
      </c>
      <c r="L121" s="35">
        <f t="shared" ca="1" si="39"/>
        <v>99.166666666666671</v>
      </c>
      <c r="M121" s="36">
        <f>VLOOKUP(B121,UTS!$B$5:$M$163,12,FALSE)</f>
        <v>93.5</v>
      </c>
      <c r="N121" s="37">
        <f>VLOOKUP(B121,UAS!$B$5:$L$163,11,FALSE)</f>
        <v>88.5</v>
      </c>
      <c r="O121" s="38" t="s">
        <v>18</v>
      </c>
      <c r="P121" s="39">
        <v>85</v>
      </c>
      <c r="Q121" s="43">
        <v>25</v>
      </c>
      <c r="R121" s="36">
        <f t="shared" si="40"/>
        <v>92.592592592592595</v>
      </c>
      <c r="S121" s="35">
        <f t="shared" ca="1" si="41"/>
        <v>94.089814814814815</v>
      </c>
      <c r="T121" s="24" t="str">
        <f>VLOOKUP(B121,UAS!$B$5:$M$163,12,FALSE)</f>
        <v>AB</v>
      </c>
      <c r="U121" s="40" t="str">
        <f t="shared" ca="1" si="42"/>
        <v>A</v>
      </c>
      <c r="V121" s="41" t="str">
        <f t="shared" si="43"/>
        <v>Yanuar Sano Nur Rasyid</v>
      </c>
      <c r="W121" s="42">
        <f t="shared" si="44"/>
        <v>13521110</v>
      </c>
      <c r="X121" s="42">
        <f t="shared" si="45"/>
        <v>36</v>
      </c>
      <c r="Y121" s="12"/>
      <c r="Z121" s="2"/>
    </row>
    <row r="122" spans="1:26" ht="15" x14ac:dyDescent="0.25">
      <c r="A122" s="30">
        <v>37</v>
      </c>
      <c r="B122" s="30">
        <v>13521112</v>
      </c>
      <c r="C122" s="31" t="s">
        <v>200</v>
      </c>
      <c r="D122" s="32" t="s">
        <v>8</v>
      </c>
      <c r="E122" s="33">
        <f ca="1">VLOOKUP($B122, Rekap_Tugas!$A$3:$I$161, 4, FALSE)</f>
        <v>88</v>
      </c>
      <c r="F122" s="33">
        <f ca="1">VLOOKUP($B122, Rekap_Tugas!$A$3:$I$161, 5, FALSE)</f>
        <v>114</v>
      </c>
      <c r="G122" s="33">
        <f ca="1">VLOOKUP($B122, Rekap_Tugas!$A$3:$I$161, 6, FALSE)</f>
        <v>104</v>
      </c>
      <c r="H122" s="34">
        <f t="shared" ca="1" si="38"/>
        <v>102</v>
      </c>
      <c r="I122" s="33">
        <f ca="1">VLOOKUP($B122, Rekap_Tugas!$A$3:$I$161, 7, FALSE)</f>
        <v>100</v>
      </c>
      <c r="J122" s="33">
        <f ca="1">VLOOKUP($B122, Rekap_Tugas!$A$3:$I$161, 8, FALSE)</f>
        <v>94</v>
      </c>
      <c r="K122" s="33">
        <f ca="1">VLOOKUP($B122, Rekap_Tugas!$A$3:$I$161, 9, FALSE)</f>
        <v>96.5</v>
      </c>
      <c r="L122" s="35">
        <f t="shared" ca="1" si="39"/>
        <v>96.833333333333329</v>
      </c>
      <c r="M122" s="36">
        <f>VLOOKUP(B122,UTS!$B$5:$M$163,12,FALSE)</f>
        <v>46</v>
      </c>
      <c r="N122" s="37">
        <f>VLOOKUP(B122,UAS!$B$5:$L$163,11,FALSE)</f>
        <v>63.5</v>
      </c>
      <c r="O122" s="38" t="s">
        <v>18</v>
      </c>
      <c r="P122" s="39">
        <v>85</v>
      </c>
      <c r="Q122" s="43">
        <v>26</v>
      </c>
      <c r="R122" s="36">
        <f t="shared" si="40"/>
        <v>96.296296296296291</v>
      </c>
      <c r="S122" s="35">
        <f t="shared" ca="1" si="41"/>
        <v>70.701157407407393</v>
      </c>
      <c r="T122" s="24" t="str">
        <f>VLOOKUP(B122,UAS!$B$5:$M$163,12,FALSE)</f>
        <v>C</v>
      </c>
      <c r="U122" s="40" t="str">
        <f t="shared" ca="1" si="42"/>
        <v>BC</v>
      </c>
      <c r="V122" s="41" t="str">
        <f t="shared" si="43"/>
        <v>Rayhan Hanif Maulana Pradana</v>
      </c>
      <c r="W122" s="42">
        <f t="shared" si="44"/>
        <v>13521112</v>
      </c>
      <c r="X122" s="42">
        <f t="shared" si="45"/>
        <v>37</v>
      </c>
      <c r="Y122" s="12"/>
      <c r="Z122" s="2"/>
    </row>
    <row r="123" spans="1:26" ht="15" x14ac:dyDescent="0.25">
      <c r="A123" s="30">
        <v>38</v>
      </c>
      <c r="B123" s="30">
        <v>13521114</v>
      </c>
      <c r="C123" s="31" t="s">
        <v>76</v>
      </c>
      <c r="D123" s="32" t="s">
        <v>8</v>
      </c>
      <c r="E123" s="33">
        <f ca="1">VLOOKUP($B123, Rekap_Tugas!$A$3:$I$161, 4, FALSE)</f>
        <v>98</v>
      </c>
      <c r="F123" s="33">
        <f ca="1">VLOOKUP($B123, Rekap_Tugas!$A$3:$I$161, 5, FALSE)</f>
        <v>114</v>
      </c>
      <c r="G123" s="33">
        <f ca="1">VLOOKUP($B123, Rekap_Tugas!$A$3:$I$161, 6, FALSE)</f>
        <v>105</v>
      </c>
      <c r="H123" s="34">
        <f t="shared" ca="1" si="38"/>
        <v>105.66666666666667</v>
      </c>
      <c r="I123" s="33">
        <f ca="1">VLOOKUP($B123, Rekap_Tugas!$A$3:$I$161, 7, FALSE)</f>
        <v>105</v>
      </c>
      <c r="J123" s="33">
        <f ca="1">VLOOKUP($B123, Rekap_Tugas!$A$3:$I$161, 8, FALSE)</f>
        <v>112</v>
      </c>
      <c r="K123" s="33">
        <f ca="1">VLOOKUP($B123, Rekap_Tugas!$A$3:$I$161, 9, FALSE)</f>
        <v>108.5</v>
      </c>
      <c r="L123" s="35">
        <f t="shared" ca="1" si="39"/>
        <v>108.5</v>
      </c>
      <c r="M123" s="36">
        <f>VLOOKUP(B123,UTS!$B$5:$M$163,12,FALSE)</f>
        <v>87.5</v>
      </c>
      <c r="N123" s="37">
        <f>VLOOKUP(B123,UAS!$B$5:$L$163,11,FALSE)</f>
        <v>87</v>
      </c>
      <c r="O123" s="38" t="s">
        <v>18</v>
      </c>
      <c r="P123" s="39">
        <v>85</v>
      </c>
      <c r="Q123" s="43">
        <v>27</v>
      </c>
      <c r="R123" s="36">
        <f t="shared" si="40"/>
        <v>100</v>
      </c>
      <c r="S123" s="35">
        <f t="shared" ca="1" si="41"/>
        <v>93.40625</v>
      </c>
      <c r="T123" s="24" t="str">
        <f>VLOOKUP(B123,UAS!$B$5:$M$163,12,FALSE)</f>
        <v>AB</v>
      </c>
      <c r="U123" s="40" t="str">
        <f t="shared" ca="1" si="42"/>
        <v>A</v>
      </c>
      <c r="V123" s="41" t="str">
        <f t="shared" si="43"/>
        <v>Farhan Nabil Suryono</v>
      </c>
      <c r="W123" s="42">
        <f t="shared" si="44"/>
        <v>13521114</v>
      </c>
      <c r="X123" s="42">
        <f t="shared" si="45"/>
        <v>38</v>
      </c>
      <c r="Y123" s="12"/>
      <c r="Z123" s="2"/>
    </row>
    <row r="124" spans="1:26" ht="15" x14ac:dyDescent="0.25">
      <c r="A124" s="30">
        <v>39</v>
      </c>
      <c r="B124" s="30">
        <v>13521116</v>
      </c>
      <c r="C124" s="31" t="s">
        <v>90</v>
      </c>
      <c r="D124" s="32" t="s">
        <v>8</v>
      </c>
      <c r="E124" s="33">
        <f ca="1">VLOOKUP($B124, Rekap_Tugas!$A$3:$I$161, 4, FALSE)</f>
        <v>97.5</v>
      </c>
      <c r="F124" s="33">
        <f ca="1">VLOOKUP($B124, Rekap_Tugas!$A$3:$I$161, 5, FALSE)</f>
        <v>114</v>
      </c>
      <c r="G124" s="33">
        <f ca="1">VLOOKUP($B124, Rekap_Tugas!$A$3:$I$161, 6, FALSE)</f>
        <v>99</v>
      </c>
      <c r="H124" s="34">
        <f t="shared" ca="1" si="38"/>
        <v>103.5</v>
      </c>
      <c r="I124" s="33">
        <f ca="1">VLOOKUP($B124, Rekap_Tugas!$A$3:$I$161, 7, FALSE)</f>
        <v>105</v>
      </c>
      <c r="J124" s="33">
        <f ca="1">VLOOKUP($B124, Rekap_Tugas!$A$3:$I$161, 8, FALSE)</f>
        <v>111</v>
      </c>
      <c r="K124" s="33">
        <f ca="1">VLOOKUP($B124, Rekap_Tugas!$A$3:$I$161, 9, FALSE)</f>
        <v>110</v>
      </c>
      <c r="L124" s="35">
        <f t="shared" ca="1" si="39"/>
        <v>108.66666666666667</v>
      </c>
      <c r="M124" s="36">
        <f>VLOOKUP(B124,UTS!$B$5:$M$163,12,FALSE)</f>
        <v>85.5</v>
      </c>
      <c r="N124" s="37">
        <f>VLOOKUP(B124,UAS!$B$5:$L$163,11,FALSE)</f>
        <v>83</v>
      </c>
      <c r="O124" s="38" t="s">
        <v>44</v>
      </c>
      <c r="P124" s="39">
        <v>90</v>
      </c>
      <c r="Q124" s="43">
        <v>25</v>
      </c>
      <c r="R124" s="36">
        <f t="shared" si="40"/>
        <v>92.592592592592595</v>
      </c>
      <c r="S124" s="35">
        <f t="shared" ca="1" si="41"/>
        <v>91.296064814814812</v>
      </c>
      <c r="T124" s="24" t="str">
        <f>VLOOKUP(B124,UAS!$B$5:$M$163,12,FALSE)</f>
        <v>AB</v>
      </c>
      <c r="U124" s="40" t="str">
        <f t="shared" ca="1" si="42"/>
        <v>A</v>
      </c>
      <c r="V124" s="41" t="str">
        <f t="shared" si="43"/>
        <v>Juan Christopher Santoso</v>
      </c>
      <c r="W124" s="42">
        <f t="shared" si="44"/>
        <v>13521116</v>
      </c>
      <c r="X124" s="42">
        <f t="shared" si="45"/>
        <v>39</v>
      </c>
      <c r="Y124" s="12"/>
      <c r="Z124" s="2"/>
    </row>
    <row r="125" spans="1:26" ht="15" x14ac:dyDescent="0.25">
      <c r="A125" s="30">
        <v>40</v>
      </c>
      <c r="B125" s="30">
        <v>13521118</v>
      </c>
      <c r="C125" s="31" t="s">
        <v>157</v>
      </c>
      <c r="D125" s="32" t="s">
        <v>8</v>
      </c>
      <c r="E125" s="33">
        <f ca="1">VLOOKUP($B125, Rekap_Tugas!$A$3:$I$161, 4, FALSE)</f>
        <v>12.5</v>
      </c>
      <c r="F125" s="33">
        <f ca="1">VLOOKUP($B125, Rekap_Tugas!$A$3:$I$161, 5, FALSE)</f>
        <v>107.5</v>
      </c>
      <c r="G125" s="33">
        <f ca="1">VLOOKUP($B125, Rekap_Tugas!$A$3:$I$161, 6, FALSE)</f>
        <v>103</v>
      </c>
      <c r="H125" s="34">
        <f t="shared" ca="1" si="38"/>
        <v>74.333333333333329</v>
      </c>
      <c r="I125" s="33">
        <f ca="1">VLOOKUP($B125, Rekap_Tugas!$A$3:$I$161, 7, FALSE)</f>
        <v>100</v>
      </c>
      <c r="J125" s="33">
        <f ca="1">VLOOKUP($B125, Rekap_Tugas!$A$3:$I$161, 8, FALSE)</f>
        <v>94</v>
      </c>
      <c r="K125" s="33">
        <f ca="1">VLOOKUP($B125, Rekap_Tugas!$A$3:$I$161, 9, FALSE)</f>
        <v>84</v>
      </c>
      <c r="L125" s="35">
        <f t="shared" ca="1" si="39"/>
        <v>92.666666666666671</v>
      </c>
      <c r="M125" s="36">
        <f>VLOOKUP(B125,UTS!$B$5:$M$163,12,FALSE)</f>
        <v>64.5</v>
      </c>
      <c r="N125" s="37">
        <f>VLOOKUP(B125,UAS!$B$5:$L$163,11,FALSE)</f>
        <v>99</v>
      </c>
      <c r="O125" s="38" t="s">
        <v>59</v>
      </c>
      <c r="P125" s="39">
        <v>80</v>
      </c>
      <c r="Q125" s="43">
        <v>25</v>
      </c>
      <c r="R125" s="36">
        <f t="shared" si="40"/>
        <v>92.592592592592595</v>
      </c>
      <c r="S125" s="35">
        <f t="shared" ca="1" si="41"/>
        <v>82.458564814814807</v>
      </c>
      <c r="T125" s="24" t="str">
        <f>VLOOKUP(B125,UAS!$B$5:$M$163,12,FALSE)</f>
        <v>B</v>
      </c>
      <c r="U125" s="40" t="str">
        <f t="shared" ca="1" si="42"/>
        <v>AB</v>
      </c>
      <c r="V125" s="41" t="str">
        <f t="shared" si="43"/>
        <v>Ahmad Ghulam Ilham</v>
      </c>
      <c r="W125" s="42">
        <f t="shared" si="44"/>
        <v>13521118</v>
      </c>
      <c r="X125" s="42">
        <f t="shared" si="45"/>
        <v>40</v>
      </c>
      <c r="Y125" s="12"/>
      <c r="Z125" s="2"/>
    </row>
    <row r="126" spans="1:26" ht="15" x14ac:dyDescent="0.25">
      <c r="A126" s="30">
        <v>41</v>
      </c>
      <c r="B126" s="30">
        <v>13521120</v>
      </c>
      <c r="C126" s="31" t="s">
        <v>129</v>
      </c>
      <c r="D126" s="32" t="s">
        <v>8</v>
      </c>
      <c r="E126" s="33">
        <f ca="1">VLOOKUP($B126, Rekap_Tugas!$A$3:$I$161, 4, FALSE)</f>
        <v>94.5</v>
      </c>
      <c r="F126" s="33">
        <f ca="1">VLOOKUP($B126, Rekap_Tugas!$A$3:$I$161, 5, FALSE)</f>
        <v>113</v>
      </c>
      <c r="G126" s="33">
        <f ca="1">VLOOKUP($B126, Rekap_Tugas!$A$3:$I$161, 6, FALSE)</f>
        <v>105</v>
      </c>
      <c r="H126" s="34">
        <f t="shared" ca="1" si="38"/>
        <v>104.16666666666667</v>
      </c>
      <c r="I126" s="33">
        <f ca="1">VLOOKUP($B126, Rekap_Tugas!$A$3:$I$161, 7, FALSE)</f>
        <v>100</v>
      </c>
      <c r="J126" s="33">
        <f ca="1">VLOOKUP($B126, Rekap_Tugas!$A$3:$I$161, 8, FALSE)</f>
        <v>112</v>
      </c>
      <c r="K126" s="33">
        <f ca="1">VLOOKUP($B126, Rekap_Tugas!$A$3:$I$161, 9, FALSE)</f>
        <v>103.5</v>
      </c>
      <c r="L126" s="35">
        <f t="shared" ca="1" si="39"/>
        <v>105.16666666666667</v>
      </c>
      <c r="M126" s="36">
        <f>VLOOKUP(B126,UTS!$B$5:$M$163,12,FALSE)</f>
        <v>74</v>
      </c>
      <c r="N126" s="37">
        <f>VLOOKUP(B126,UAS!$B$5:$L$163,11,FALSE)</f>
        <v>82.5</v>
      </c>
      <c r="O126" s="38" t="s">
        <v>17</v>
      </c>
      <c r="P126" s="39">
        <v>80</v>
      </c>
      <c r="Q126" s="43">
        <v>26</v>
      </c>
      <c r="R126" s="36">
        <f t="shared" si="40"/>
        <v>96.296296296296291</v>
      </c>
      <c r="S126" s="35">
        <f t="shared" ca="1" si="41"/>
        <v>86.71365740740741</v>
      </c>
      <c r="T126" s="24" t="str">
        <f>VLOOKUP(B126,UAS!$B$5:$M$163,12,FALSE)</f>
        <v>AB</v>
      </c>
      <c r="U126" s="40" t="str">
        <f t="shared" ca="1" si="42"/>
        <v>A</v>
      </c>
      <c r="V126" s="41" t="str">
        <f t="shared" si="43"/>
        <v>Febryan Arota Hia</v>
      </c>
      <c r="W126" s="42">
        <f t="shared" si="44"/>
        <v>13521120</v>
      </c>
      <c r="X126" s="42">
        <f t="shared" si="45"/>
        <v>41</v>
      </c>
      <c r="Y126" s="12"/>
      <c r="Z126" s="2"/>
    </row>
    <row r="127" spans="1:26" ht="15" x14ac:dyDescent="0.25">
      <c r="A127" s="30">
        <v>42</v>
      </c>
      <c r="B127" s="30">
        <v>13521122</v>
      </c>
      <c r="C127" s="31" t="s">
        <v>100</v>
      </c>
      <c r="D127" s="32" t="s">
        <v>8</v>
      </c>
      <c r="E127" s="33">
        <f ca="1">VLOOKUP($B127, Rekap_Tugas!$A$3:$I$161, 4, FALSE)</f>
        <v>97</v>
      </c>
      <c r="F127" s="33">
        <f ca="1">VLOOKUP($B127, Rekap_Tugas!$A$3:$I$161, 5, FALSE)</f>
        <v>114</v>
      </c>
      <c r="G127" s="33">
        <f ca="1">VLOOKUP($B127, Rekap_Tugas!$A$3:$I$161, 6, FALSE)</f>
        <v>107</v>
      </c>
      <c r="H127" s="34">
        <f t="shared" ca="1" si="38"/>
        <v>106</v>
      </c>
      <c r="I127" s="33">
        <f ca="1">VLOOKUP($B127, Rekap_Tugas!$A$3:$I$161, 7, FALSE)</f>
        <v>92</v>
      </c>
      <c r="J127" s="33">
        <f ca="1">VLOOKUP($B127, Rekap_Tugas!$A$3:$I$161, 8, FALSE)</f>
        <v>105</v>
      </c>
      <c r="K127" s="33">
        <f ca="1">VLOOKUP($B127, Rekap_Tugas!$A$3:$I$161, 9, FALSE)</f>
        <v>105.5</v>
      </c>
      <c r="L127" s="35">
        <f t="shared" ca="1" si="39"/>
        <v>100.83333333333333</v>
      </c>
      <c r="M127" s="36">
        <f>VLOOKUP(B127,UTS!$B$5:$M$163,12,FALSE)</f>
        <v>84</v>
      </c>
      <c r="N127" s="37">
        <f>VLOOKUP(B127,UAS!$B$5:$L$163,11,FALSE)</f>
        <v>84.5</v>
      </c>
      <c r="O127" s="38" t="s">
        <v>17</v>
      </c>
      <c r="P127" s="39">
        <v>80</v>
      </c>
      <c r="Q127" s="43">
        <v>24</v>
      </c>
      <c r="R127" s="36">
        <f t="shared" si="40"/>
        <v>88.888888888888886</v>
      </c>
      <c r="S127" s="35">
        <f t="shared" ca="1" si="41"/>
        <v>89.903472222222234</v>
      </c>
      <c r="T127" s="24" t="str">
        <f>VLOOKUP(B127,UAS!$B$5:$M$163,12,FALSE)</f>
        <v>A</v>
      </c>
      <c r="U127" s="40" t="str">
        <f t="shared" ca="1" si="42"/>
        <v>A</v>
      </c>
      <c r="V127" s="41" t="str">
        <f t="shared" si="43"/>
        <v>Ulung Adi Putra</v>
      </c>
      <c r="W127" s="42">
        <f t="shared" si="44"/>
        <v>13521122</v>
      </c>
      <c r="X127" s="42">
        <f t="shared" si="45"/>
        <v>42</v>
      </c>
      <c r="Y127" s="12"/>
      <c r="Z127" s="2"/>
    </row>
    <row r="128" spans="1:26" ht="15" x14ac:dyDescent="0.25">
      <c r="A128" s="30">
        <v>43</v>
      </c>
      <c r="B128" s="30">
        <v>13521124</v>
      </c>
      <c r="C128" s="31" t="s">
        <v>57</v>
      </c>
      <c r="D128" s="32" t="s">
        <v>8</v>
      </c>
      <c r="E128" s="33">
        <f ca="1">VLOOKUP($B128, Rekap_Tugas!$A$3:$I$161, 4, FALSE)</f>
        <v>97.5</v>
      </c>
      <c r="F128" s="33">
        <f ca="1">VLOOKUP($B128, Rekap_Tugas!$A$3:$I$161, 5, FALSE)</f>
        <v>115</v>
      </c>
      <c r="G128" s="33">
        <f ca="1">VLOOKUP($B128, Rekap_Tugas!$A$3:$I$161, 6, FALSE)</f>
        <v>108</v>
      </c>
      <c r="H128" s="34">
        <f t="shared" ca="1" si="38"/>
        <v>106.83333333333333</v>
      </c>
      <c r="I128" s="33">
        <f ca="1">VLOOKUP($B128, Rekap_Tugas!$A$3:$I$161, 7, FALSE)</f>
        <v>108</v>
      </c>
      <c r="J128" s="33">
        <f ca="1">VLOOKUP($B128, Rekap_Tugas!$A$3:$I$161, 8, FALSE)</f>
        <v>105.5</v>
      </c>
      <c r="K128" s="33">
        <f ca="1">VLOOKUP($B128, Rekap_Tugas!$A$3:$I$161, 9, FALSE)</f>
        <v>108</v>
      </c>
      <c r="L128" s="35">
        <f t="shared" ca="1" si="39"/>
        <v>107.16666666666667</v>
      </c>
      <c r="M128" s="36">
        <f>VLOOKUP(B128,UTS!$B$5:$M$163,12,FALSE)</f>
        <v>94</v>
      </c>
      <c r="N128" s="37">
        <f>VLOOKUP(B128,UAS!$B$5:$L$163,11,FALSE)</f>
        <v>91.5</v>
      </c>
      <c r="O128" s="38" t="s">
        <v>44</v>
      </c>
      <c r="P128" s="39">
        <v>90</v>
      </c>
      <c r="Q128" s="43">
        <v>27</v>
      </c>
      <c r="R128" s="36">
        <f t="shared" si="40"/>
        <v>100</v>
      </c>
      <c r="S128" s="35">
        <f t="shared" ca="1" si="41"/>
        <v>97.068749999999994</v>
      </c>
      <c r="T128" s="24" t="str">
        <f>VLOOKUP(B128,UAS!$B$5:$M$163,12,FALSE)</f>
        <v>A</v>
      </c>
      <c r="U128" s="40" t="str">
        <f t="shared" ca="1" si="42"/>
        <v>A</v>
      </c>
      <c r="V128" s="41" t="str">
        <f t="shared" si="43"/>
        <v>Michael Jonathan Halim</v>
      </c>
      <c r="W128" s="42">
        <f t="shared" si="44"/>
        <v>13521124</v>
      </c>
      <c r="X128" s="42">
        <f t="shared" si="45"/>
        <v>43</v>
      </c>
      <c r="Y128" s="12"/>
      <c r="Z128" s="2"/>
    </row>
    <row r="129" spans="1:26" ht="15" x14ac:dyDescent="0.25">
      <c r="A129" s="30">
        <v>44</v>
      </c>
      <c r="B129" s="30">
        <v>13521128</v>
      </c>
      <c r="C129" s="31" t="s">
        <v>142</v>
      </c>
      <c r="D129" s="32" t="s">
        <v>8</v>
      </c>
      <c r="E129" s="33">
        <f ca="1">VLOOKUP($B129, Rekap_Tugas!$A$3:$I$161, 4, FALSE)</f>
        <v>87.5</v>
      </c>
      <c r="F129" s="33">
        <f ca="1">VLOOKUP($B129, Rekap_Tugas!$A$3:$I$161, 5, FALSE)</f>
        <v>115</v>
      </c>
      <c r="G129" s="33">
        <f ca="1">VLOOKUP($B129, Rekap_Tugas!$A$3:$I$161, 6, FALSE)</f>
        <v>107</v>
      </c>
      <c r="H129" s="34">
        <f t="shared" ca="1" si="38"/>
        <v>103.16666666666667</v>
      </c>
      <c r="I129" s="33">
        <f ca="1">VLOOKUP($B129, Rekap_Tugas!$A$3:$I$161, 7, FALSE)</f>
        <v>98</v>
      </c>
      <c r="J129" s="33">
        <f ca="1">VLOOKUP($B129, Rekap_Tugas!$A$3:$I$161, 8, FALSE)</f>
        <v>111</v>
      </c>
      <c r="K129" s="33">
        <f ca="1">VLOOKUP($B129, Rekap_Tugas!$A$3:$I$161, 9, FALSE)</f>
        <v>88.5</v>
      </c>
      <c r="L129" s="35">
        <f t="shared" ca="1" si="39"/>
        <v>99.166666666666671</v>
      </c>
      <c r="M129" s="36">
        <f>VLOOKUP(B129,UTS!$B$5:$M$163,12,FALSE)</f>
        <v>88</v>
      </c>
      <c r="N129" s="37">
        <f>VLOOKUP(B129,UAS!$B$5:$L$163,11,FALSE)</f>
        <v>64.5</v>
      </c>
      <c r="O129" s="38" t="s">
        <v>17</v>
      </c>
      <c r="P129" s="39">
        <v>80</v>
      </c>
      <c r="Q129" s="43">
        <v>23</v>
      </c>
      <c r="R129" s="36">
        <f t="shared" si="40"/>
        <v>85.18518518518519</v>
      </c>
      <c r="S129" s="35">
        <f t="shared" ca="1" si="41"/>
        <v>84.135879629629628</v>
      </c>
      <c r="T129" s="24" t="str">
        <f>VLOOKUP(B129,UAS!$B$5:$M$163,12,FALSE)</f>
        <v>BC</v>
      </c>
      <c r="U129" s="40" t="str">
        <f t="shared" ca="1" si="42"/>
        <v>A</v>
      </c>
      <c r="V129" s="41" t="str">
        <f t="shared" si="43"/>
        <v>Muhammad Abdul Aziz Ghazali</v>
      </c>
      <c r="W129" s="42">
        <f t="shared" si="44"/>
        <v>13521128</v>
      </c>
      <c r="X129" s="42">
        <f t="shared" si="45"/>
        <v>44</v>
      </c>
      <c r="Y129" s="12"/>
      <c r="Z129" s="2"/>
    </row>
    <row r="130" spans="1:26" ht="15" x14ac:dyDescent="0.25">
      <c r="A130" s="30">
        <v>45</v>
      </c>
      <c r="B130" s="30">
        <v>13521130</v>
      </c>
      <c r="C130" s="31" t="s">
        <v>138</v>
      </c>
      <c r="D130" s="32" t="s">
        <v>8</v>
      </c>
      <c r="E130" s="33">
        <f ca="1">VLOOKUP($B130, Rekap_Tugas!$A$3:$I$161, 4, FALSE)</f>
        <v>97.5</v>
      </c>
      <c r="F130" s="33">
        <f ca="1">VLOOKUP($B130, Rekap_Tugas!$A$3:$I$161, 5, FALSE)</f>
        <v>115</v>
      </c>
      <c r="G130" s="33">
        <f ca="1">VLOOKUP($B130, Rekap_Tugas!$A$3:$I$161, 6, FALSE)</f>
        <v>105</v>
      </c>
      <c r="H130" s="34">
        <f t="shared" ca="1" si="38"/>
        <v>105.83333333333333</v>
      </c>
      <c r="I130" s="33">
        <f ca="1">VLOOKUP($B130, Rekap_Tugas!$A$3:$I$161, 7, FALSE)</f>
        <v>110</v>
      </c>
      <c r="J130" s="33">
        <f ca="1">VLOOKUP($B130, Rekap_Tugas!$A$3:$I$161, 8, FALSE)</f>
        <v>105</v>
      </c>
      <c r="K130" s="33">
        <f ca="1">VLOOKUP($B130, Rekap_Tugas!$A$3:$I$161, 9, FALSE)</f>
        <v>94</v>
      </c>
      <c r="L130" s="35">
        <f t="shared" ca="1" si="39"/>
        <v>103</v>
      </c>
      <c r="M130" s="36">
        <f>VLOOKUP(B130,UTS!$B$5:$M$163,12,FALSE)</f>
        <v>75.5</v>
      </c>
      <c r="N130" s="37">
        <f>VLOOKUP(B130,UAS!$B$5:$L$163,11,FALSE)</f>
        <v>74</v>
      </c>
      <c r="O130" s="38" t="s">
        <v>53</v>
      </c>
      <c r="P130" s="39">
        <v>85</v>
      </c>
      <c r="Q130" s="43">
        <v>26</v>
      </c>
      <c r="R130" s="36">
        <f t="shared" si="40"/>
        <v>96.296296296296291</v>
      </c>
      <c r="S130" s="35">
        <f t="shared" ca="1" si="41"/>
        <v>84.701157407407393</v>
      </c>
      <c r="T130" s="24" t="str">
        <f>VLOOKUP(B130,UAS!$B$5:$M$163,12,FALSE)</f>
        <v>B</v>
      </c>
      <c r="U130" s="40" t="str">
        <f t="shared" ca="1" si="42"/>
        <v>A</v>
      </c>
      <c r="V130" s="41" t="str">
        <f t="shared" si="43"/>
        <v>Althaaf Khasyi Atisomya</v>
      </c>
      <c r="W130" s="42">
        <f t="shared" si="44"/>
        <v>13521130</v>
      </c>
      <c r="X130" s="42">
        <f t="shared" si="45"/>
        <v>45</v>
      </c>
      <c r="Y130" s="12"/>
      <c r="Z130" s="2"/>
    </row>
    <row r="131" spans="1:26" ht="15" x14ac:dyDescent="0.25">
      <c r="A131" s="30">
        <v>46</v>
      </c>
      <c r="B131" s="30">
        <v>13521132</v>
      </c>
      <c r="C131" s="31" t="s">
        <v>195</v>
      </c>
      <c r="D131" s="32" t="s">
        <v>8</v>
      </c>
      <c r="E131" s="33">
        <f ca="1">VLOOKUP($B131, Rekap_Tugas!$A$3:$I$161, 4, FALSE)</f>
        <v>91.5</v>
      </c>
      <c r="F131" s="33">
        <f ca="1">VLOOKUP($B131, Rekap_Tugas!$A$3:$I$161, 5, FALSE)</f>
        <v>115</v>
      </c>
      <c r="G131" s="33">
        <f ca="1">VLOOKUP($B131, Rekap_Tugas!$A$3:$I$161, 6, FALSE)</f>
        <v>110</v>
      </c>
      <c r="H131" s="34">
        <f t="shared" ca="1" si="38"/>
        <v>105.5</v>
      </c>
      <c r="I131" s="33">
        <f ca="1">VLOOKUP($B131, Rekap_Tugas!$A$3:$I$161, 7, FALSE)</f>
        <v>100</v>
      </c>
      <c r="J131" s="33">
        <f ca="1">VLOOKUP($B131, Rekap_Tugas!$A$3:$I$161, 8, FALSE)</f>
        <v>105</v>
      </c>
      <c r="K131" s="33">
        <f ca="1">VLOOKUP($B131, Rekap_Tugas!$A$3:$I$161, 9, FALSE)</f>
        <v>105.5</v>
      </c>
      <c r="L131" s="35">
        <f t="shared" ca="1" si="39"/>
        <v>103.5</v>
      </c>
      <c r="M131" s="36">
        <f>VLOOKUP(B131,UTS!$B$5:$M$163,12,FALSE)</f>
        <v>65</v>
      </c>
      <c r="N131" s="37">
        <f>VLOOKUP(B131,UAS!$B$5:$L$163,11,FALSE)</f>
        <v>52.5</v>
      </c>
      <c r="O131" s="38" t="s">
        <v>17</v>
      </c>
      <c r="P131" s="39">
        <v>80</v>
      </c>
      <c r="Q131" s="43">
        <v>25</v>
      </c>
      <c r="R131" s="36">
        <f t="shared" si="40"/>
        <v>92.592592592592595</v>
      </c>
      <c r="S131" s="9">
        <f t="shared" ca="1" si="41"/>
        <v>74.383564814814804</v>
      </c>
      <c r="T131" s="24" t="str">
        <f>VLOOKUP(B131,UAS!$B$5:$M$163,12,FALSE)</f>
        <v>B</v>
      </c>
      <c r="U131" s="40" t="str">
        <f t="shared" ca="1" si="42"/>
        <v>B</v>
      </c>
      <c r="V131" s="41" t="str">
        <f t="shared" si="43"/>
        <v>Dhanika Novlisariyanti</v>
      </c>
      <c r="W131" s="42">
        <f t="shared" si="44"/>
        <v>13521132</v>
      </c>
      <c r="X131" s="42">
        <f t="shared" si="45"/>
        <v>46</v>
      </c>
      <c r="Y131" s="12"/>
      <c r="Z131" s="2"/>
    </row>
    <row r="132" spans="1:26" ht="15" x14ac:dyDescent="0.25">
      <c r="A132" s="30">
        <v>47</v>
      </c>
      <c r="B132" s="30">
        <v>13521134</v>
      </c>
      <c r="C132" s="31" t="s">
        <v>125</v>
      </c>
      <c r="D132" s="32" t="s">
        <v>8</v>
      </c>
      <c r="E132" s="33">
        <f ca="1">VLOOKUP($B132, Rekap_Tugas!$A$3:$I$161, 4, FALSE)</f>
        <v>98.5</v>
      </c>
      <c r="F132" s="33">
        <f ca="1">VLOOKUP($B132, Rekap_Tugas!$A$3:$I$161, 5, FALSE)</f>
        <v>112</v>
      </c>
      <c r="G132" s="33">
        <f ca="1">VLOOKUP($B132, Rekap_Tugas!$A$3:$I$161, 6, FALSE)</f>
        <v>99</v>
      </c>
      <c r="H132" s="34">
        <f t="shared" ca="1" si="38"/>
        <v>103.16666666666667</v>
      </c>
      <c r="I132" s="33">
        <f ca="1">VLOOKUP($B132, Rekap_Tugas!$A$3:$I$161, 7, FALSE)</f>
        <v>105</v>
      </c>
      <c r="J132" s="33">
        <f ca="1">VLOOKUP($B132, Rekap_Tugas!$A$3:$I$161, 8, FALSE)</f>
        <v>112</v>
      </c>
      <c r="K132" s="33">
        <f ca="1">VLOOKUP($B132, Rekap_Tugas!$A$3:$I$161, 9, FALSE)</f>
        <v>98.5</v>
      </c>
      <c r="L132" s="35">
        <f t="shared" ca="1" si="39"/>
        <v>105.16666666666667</v>
      </c>
      <c r="M132" s="36">
        <f>VLOOKUP(B132,UTS!$B$5:$M$163,12,FALSE)</f>
        <v>82.5</v>
      </c>
      <c r="N132" s="37">
        <f>VLOOKUP(B132,UAS!$B$5:$L$163,11,FALSE)</f>
        <v>77.5</v>
      </c>
      <c r="O132" s="38" t="s">
        <v>15</v>
      </c>
      <c r="P132" s="39">
        <v>75</v>
      </c>
      <c r="Q132" s="43">
        <v>23</v>
      </c>
      <c r="R132" s="36">
        <f t="shared" si="40"/>
        <v>85.18518518518519</v>
      </c>
      <c r="S132" s="35">
        <f t="shared" ca="1" si="41"/>
        <v>87.129629629629633</v>
      </c>
      <c r="T132" s="24" t="str">
        <f>VLOOKUP(B132,UAS!$B$5:$M$163,12,FALSE)</f>
        <v>AB</v>
      </c>
      <c r="U132" s="40" t="str">
        <f t="shared" ca="1" si="42"/>
        <v>A</v>
      </c>
      <c r="V132" s="41" t="str">
        <f t="shared" si="43"/>
        <v>Rinaldy Adin</v>
      </c>
      <c r="W132" s="42">
        <f t="shared" si="44"/>
        <v>13521134</v>
      </c>
      <c r="X132" s="42">
        <f t="shared" si="45"/>
        <v>47</v>
      </c>
      <c r="Y132" s="12"/>
      <c r="Z132" s="2"/>
    </row>
    <row r="133" spans="1:26" ht="15" x14ac:dyDescent="0.25">
      <c r="A133" s="30">
        <v>48</v>
      </c>
      <c r="B133" s="30">
        <v>13521136</v>
      </c>
      <c r="C133" s="31" t="s">
        <v>190</v>
      </c>
      <c r="D133" s="32" t="s">
        <v>8</v>
      </c>
      <c r="E133" s="33">
        <f ca="1">VLOOKUP($B133, Rekap_Tugas!$A$3:$I$161, 4, FALSE)</f>
        <v>86.5</v>
      </c>
      <c r="F133" s="33">
        <f ca="1">VLOOKUP($B133, Rekap_Tugas!$A$3:$I$161, 5, FALSE)</f>
        <v>114</v>
      </c>
      <c r="G133" s="33">
        <f ca="1">VLOOKUP($B133, Rekap_Tugas!$A$3:$I$161, 6, FALSE)</f>
        <v>82</v>
      </c>
      <c r="H133" s="34">
        <f t="shared" ca="1" si="38"/>
        <v>94.166666666666671</v>
      </c>
      <c r="I133" s="33">
        <f ca="1">VLOOKUP($B133, Rekap_Tugas!$A$3:$I$161, 7, FALSE)</f>
        <v>105</v>
      </c>
      <c r="J133" s="33">
        <f ca="1">VLOOKUP($B133, Rekap_Tugas!$A$3:$I$161, 8, FALSE)</f>
        <v>101.5</v>
      </c>
      <c r="K133" s="33">
        <f ca="1">VLOOKUP($B133, Rekap_Tugas!$A$3:$I$161, 9, FALSE)</f>
        <v>94.5</v>
      </c>
      <c r="L133" s="35">
        <f t="shared" ca="1" si="39"/>
        <v>100.33333333333333</v>
      </c>
      <c r="M133" s="36">
        <f>VLOOKUP(B133,UTS!$B$5:$M$163,12,FALSE)</f>
        <v>60</v>
      </c>
      <c r="N133" s="37">
        <f>VLOOKUP(B133,UAS!$B$5:$L$163,11,FALSE)</f>
        <v>67.5</v>
      </c>
      <c r="O133" s="38" t="s">
        <v>18</v>
      </c>
      <c r="P133" s="39">
        <v>85</v>
      </c>
      <c r="Q133" s="43">
        <v>26</v>
      </c>
      <c r="R133" s="36">
        <f t="shared" si="40"/>
        <v>96.296296296296291</v>
      </c>
      <c r="S133" s="35">
        <f t="shared" ca="1" si="41"/>
        <v>75.676157407407402</v>
      </c>
      <c r="T133" s="24" t="str">
        <f>VLOOKUP(B133,UAS!$B$5:$M$163,12,FALSE)</f>
        <v>AB</v>
      </c>
      <c r="U133" s="40" t="str">
        <f t="shared" ca="1" si="42"/>
        <v>B</v>
      </c>
      <c r="V133" s="41" t="str">
        <f t="shared" si="43"/>
        <v>Ammar Rasyad Chaeroel</v>
      </c>
      <c r="W133" s="42">
        <f t="shared" si="44"/>
        <v>13521136</v>
      </c>
      <c r="X133" s="42">
        <f t="shared" si="45"/>
        <v>48</v>
      </c>
      <c r="Y133" s="12"/>
      <c r="Z133" s="2"/>
    </row>
    <row r="134" spans="1:26" ht="15" x14ac:dyDescent="0.25">
      <c r="A134" s="30">
        <v>49</v>
      </c>
      <c r="B134" s="30">
        <v>13521138</v>
      </c>
      <c r="C134" s="31" t="s">
        <v>146</v>
      </c>
      <c r="D134" s="32" t="s">
        <v>8</v>
      </c>
      <c r="E134" s="33">
        <f ca="1">VLOOKUP($B134, Rekap_Tugas!$A$3:$I$161, 4, FALSE)</f>
        <v>91.5</v>
      </c>
      <c r="F134" s="33">
        <f ca="1">VLOOKUP($B134, Rekap_Tugas!$A$3:$I$161, 5, FALSE)</f>
        <v>114</v>
      </c>
      <c r="G134" s="33">
        <f ca="1">VLOOKUP($B134, Rekap_Tugas!$A$3:$I$161, 6, FALSE)</f>
        <v>105</v>
      </c>
      <c r="H134" s="34">
        <f t="shared" ca="1" si="38"/>
        <v>103.5</v>
      </c>
      <c r="I134" s="33">
        <f ca="1">VLOOKUP($B134, Rekap_Tugas!$A$3:$I$161, 7, FALSE)</f>
        <v>108</v>
      </c>
      <c r="J134" s="33">
        <f ca="1">VLOOKUP($B134, Rekap_Tugas!$A$3:$I$161, 8, FALSE)</f>
        <v>112.5</v>
      </c>
      <c r="K134" s="33">
        <f ca="1">VLOOKUP($B134, Rekap_Tugas!$A$3:$I$161, 9, FALSE)</f>
        <v>90.5</v>
      </c>
      <c r="L134" s="35">
        <f t="shared" ca="1" si="39"/>
        <v>103.66666666666667</v>
      </c>
      <c r="M134" s="36">
        <f>VLOOKUP(B134,UTS!$B$5:$M$163,12,FALSE)</f>
        <v>67.5</v>
      </c>
      <c r="N134" s="37">
        <f>VLOOKUP(B134,UAS!$B$5:$L$163,11,FALSE)</f>
        <v>80.5</v>
      </c>
      <c r="O134" s="38" t="s">
        <v>17</v>
      </c>
      <c r="P134" s="39">
        <v>80</v>
      </c>
      <c r="Q134" s="43">
        <v>27</v>
      </c>
      <c r="R134" s="36">
        <f t="shared" si="40"/>
        <v>100</v>
      </c>
      <c r="S134" s="35">
        <f t="shared" ca="1" si="41"/>
        <v>83.825000000000003</v>
      </c>
      <c r="T134" s="24" t="str">
        <f>VLOOKUP(B134,UAS!$B$5:$M$163,12,FALSE)</f>
        <v>AB</v>
      </c>
      <c r="U134" s="40" t="str">
        <f t="shared" ca="1" si="42"/>
        <v>AB</v>
      </c>
      <c r="V134" s="41" t="str">
        <f t="shared" si="43"/>
        <v>Johann Christian Kandani</v>
      </c>
      <c r="W134" s="42">
        <f t="shared" si="44"/>
        <v>13521138</v>
      </c>
      <c r="X134" s="42">
        <f t="shared" si="45"/>
        <v>49</v>
      </c>
      <c r="Y134" s="12"/>
      <c r="Z134" s="2"/>
    </row>
    <row r="135" spans="1:26" ht="15" x14ac:dyDescent="0.25">
      <c r="A135" s="30">
        <v>50</v>
      </c>
      <c r="B135" s="30">
        <v>13521140</v>
      </c>
      <c r="C135" s="31" t="s">
        <v>113</v>
      </c>
      <c r="D135" s="32" t="s">
        <v>8</v>
      </c>
      <c r="E135" s="33">
        <f ca="1">VLOOKUP($B135, Rekap_Tugas!$A$3:$I$161, 4, FALSE)</f>
        <v>95</v>
      </c>
      <c r="F135" s="33">
        <f ca="1">VLOOKUP($B135, Rekap_Tugas!$A$3:$I$161, 5, FALSE)</f>
        <v>112</v>
      </c>
      <c r="G135" s="33">
        <f ca="1">VLOOKUP($B135, Rekap_Tugas!$A$3:$I$161, 6, FALSE)</f>
        <v>109</v>
      </c>
      <c r="H135" s="34">
        <f t="shared" ca="1" si="38"/>
        <v>105.33333333333333</v>
      </c>
      <c r="I135" s="33">
        <f ca="1">VLOOKUP($B135, Rekap_Tugas!$A$3:$I$161, 7, FALSE)</f>
        <v>104</v>
      </c>
      <c r="J135" s="33">
        <f ca="1">VLOOKUP($B135, Rekap_Tugas!$A$3:$I$161, 8, FALSE)</f>
        <v>97</v>
      </c>
      <c r="K135" s="33">
        <f ca="1">VLOOKUP($B135, Rekap_Tugas!$A$3:$I$161, 9, FALSE)</f>
        <v>89.5</v>
      </c>
      <c r="L135" s="35">
        <f t="shared" ca="1" si="39"/>
        <v>96.833333333333329</v>
      </c>
      <c r="M135" s="36">
        <f>VLOOKUP(B135,UTS!$B$5:$M$163,12,FALSE)</f>
        <v>82.5</v>
      </c>
      <c r="N135" s="37">
        <f>VLOOKUP(B135,UAS!$B$5:$L$163,11,FALSE)</f>
        <v>86</v>
      </c>
      <c r="O135" s="38" t="s">
        <v>44</v>
      </c>
      <c r="P135" s="39">
        <v>90</v>
      </c>
      <c r="Q135" s="44">
        <v>26</v>
      </c>
      <c r="R135" s="36">
        <f t="shared" si="40"/>
        <v>96.296296296296291</v>
      </c>
      <c r="S135" s="35">
        <f t="shared" ca="1" si="41"/>
        <v>89.888657407407393</v>
      </c>
      <c r="T135" s="24" t="str">
        <f>VLOOKUP(B135,UAS!$B$5:$M$163,12,FALSE)</f>
        <v>AB</v>
      </c>
      <c r="U135" s="40" t="str">
        <f t="shared" ca="1" si="42"/>
        <v>A</v>
      </c>
      <c r="V135" s="41" t="str">
        <f t="shared" si="43"/>
        <v>Ryan Samuel Chandra</v>
      </c>
      <c r="W135" s="42">
        <f t="shared" si="44"/>
        <v>13521140</v>
      </c>
      <c r="X135" s="42">
        <f t="shared" si="45"/>
        <v>50</v>
      </c>
      <c r="Y135" s="12"/>
      <c r="Z135" s="2"/>
    </row>
    <row r="136" spans="1:26" ht="15" x14ac:dyDescent="0.25">
      <c r="A136" s="30">
        <v>51</v>
      </c>
      <c r="B136" s="30">
        <v>13521142</v>
      </c>
      <c r="C136" s="31" t="s">
        <v>154</v>
      </c>
      <c r="D136" s="32" t="s">
        <v>8</v>
      </c>
      <c r="E136" s="33">
        <f ca="1">VLOOKUP($B136, Rekap_Tugas!$A$3:$I$161, 4, FALSE)</f>
        <v>100</v>
      </c>
      <c r="F136" s="33">
        <f ca="1">VLOOKUP($B136, Rekap_Tugas!$A$3:$I$161, 5, FALSE)</f>
        <v>115</v>
      </c>
      <c r="G136" s="33">
        <f ca="1">VLOOKUP($B136, Rekap_Tugas!$A$3:$I$161, 6, FALSE)</f>
        <v>103</v>
      </c>
      <c r="H136" s="34">
        <f t="shared" ca="1" si="38"/>
        <v>106</v>
      </c>
      <c r="I136" s="33">
        <f ca="1">VLOOKUP($B136, Rekap_Tugas!$A$3:$I$161, 7, FALSE)</f>
        <v>106</v>
      </c>
      <c r="J136" s="33">
        <f ca="1">VLOOKUP($B136, Rekap_Tugas!$A$3:$I$161, 8, FALSE)</f>
        <v>107</v>
      </c>
      <c r="K136" s="33">
        <f ca="1">VLOOKUP($B136, Rekap_Tugas!$A$3:$I$161, 9, FALSE)</f>
        <v>98.5</v>
      </c>
      <c r="L136" s="35">
        <f t="shared" ca="1" si="39"/>
        <v>103.83333333333333</v>
      </c>
      <c r="M136" s="36">
        <f>VLOOKUP(B136,UTS!$B$5:$M$163,12,FALSE)</f>
        <v>89</v>
      </c>
      <c r="N136" s="37">
        <f>VLOOKUP(B136,UAS!$B$5:$L$163,11,FALSE)</f>
        <v>55</v>
      </c>
      <c r="O136" s="38" t="s">
        <v>53</v>
      </c>
      <c r="P136" s="39">
        <v>85</v>
      </c>
      <c r="Q136" s="44">
        <v>26</v>
      </c>
      <c r="R136" s="36">
        <f t="shared" si="40"/>
        <v>96.296296296296291</v>
      </c>
      <c r="S136" s="35">
        <f t="shared" ca="1" si="41"/>
        <v>83.132407407407399</v>
      </c>
      <c r="T136" s="24" t="str">
        <f>VLOOKUP(B136,UAS!$B$5:$M$163,12,FALSE)</f>
        <v>A</v>
      </c>
      <c r="U136" s="40" t="str">
        <f t="shared" ca="1" si="42"/>
        <v>AB</v>
      </c>
      <c r="V136" s="41" t="str">
        <f t="shared" si="43"/>
        <v>Enrique Alifio Ditya</v>
      </c>
      <c r="W136" s="42">
        <f t="shared" si="44"/>
        <v>13521142</v>
      </c>
      <c r="X136" s="42">
        <f t="shared" si="45"/>
        <v>51</v>
      </c>
      <c r="Y136" s="12"/>
      <c r="Z136" s="2"/>
    </row>
    <row r="137" spans="1:26" ht="15" x14ac:dyDescent="0.25">
      <c r="A137" s="30">
        <v>52</v>
      </c>
      <c r="B137" s="30">
        <v>13521144</v>
      </c>
      <c r="C137" s="31" t="s">
        <v>104</v>
      </c>
      <c r="D137" s="32" t="s">
        <v>8</v>
      </c>
      <c r="E137" s="33">
        <f ca="1">VLOOKUP($B137, Rekap_Tugas!$A$3:$I$161, 4, FALSE)</f>
        <v>100</v>
      </c>
      <c r="F137" s="33">
        <f ca="1">VLOOKUP($B137, Rekap_Tugas!$A$3:$I$161, 5, FALSE)</f>
        <v>115</v>
      </c>
      <c r="G137" s="33">
        <f ca="1">VLOOKUP($B137, Rekap_Tugas!$A$3:$I$161, 6, FALSE)</f>
        <v>99</v>
      </c>
      <c r="H137" s="34">
        <f t="shared" ca="1" si="38"/>
        <v>104.66666666666667</v>
      </c>
      <c r="I137" s="33">
        <f ca="1">VLOOKUP($B137, Rekap_Tugas!$A$3:$I$161, 7, FALSE)</f>
        <v>105</v>
      </c>
      <c r="J137" s="33">
        <f ca="1">VLOOKUP($B137, Rekap_Tugas!$A$3:$I$161, 8, FALSE)</f>
        <v>108</v>
      </c>
      <c r="K137" s="33">
        <f ca="1">VLOOKUP($B137, Rekap_Tugas!$A$3:$I$161, 9, FALSE)</f>
        <v>101.5</v>
      </c>
      <c r="L137" s="35">
        <f t="shared" ca="1" si="39"/>
        <v>104.83333333333333</v>
      </c>
      <c r="M137" s="36">
        <f>VLOOKUP(B137,UTS!$B$5:$M$163,12,FALSE)</f>
        <v>86.5</v>
      </c>
      <c r="N137" s="37">
        <f>VLOOKUP(B137,UAS!$B$5:$L$163,11,FALSE)</f>
        <v>77</v>
      </c>
      <c r="O137" s="38" t="s">
        <v>44</v>
      </c>
      <c r="P137" s="39">
        <v>90</v>
      </c>
      <c r="Q137" s="44">
        <v>27</v>
      </c>
      <c r="R137" s="36">
        <f t="shared" si="40"/>
        <v>100</v>
      </c>
      <c r="S137" s="35">
        <f t="shared" ca="1" si="41"/>
        <v>89.518749999999997</v>
      </c>
      <c r="T137" s="24" t="str">
        <f>VLOOKUP(B137,UAS!$B$5:$M$163,12,FALSE)</f>
        <v>A</v>
      </c>
      <c r="U137" s="40" t="str">
        <f t="shared" ca="1" si="42"/>
        <v>A</v>
      </c>
      <c r="V137" s="41" t="str">
        <f t="shared" si="43"/>
        <v>Bintang Dwi Marthen</v>
      </c>
      <c r="W137" s="42">
        <f t="shared" si="44"/>
        <v>13521144</v>
      </c>
      <c r="X137" s="42">
        <f t="shared" si="45"/>
        <v>52</v>
      </c>
      <c r="Y137" s="12"/>
      <c r="Z137" s="2"/>
    </row>
    <row r="138" spans="1:26" ht="15" x14ac:dyDescent="0.25">
      <c r="A138" s="30">
        <v>53</v>
      </c>
      <c r="B138" s="30">
        <v>13521146</v>
      </c>
      <c r="C138" s="31" t="s">
        <v>73</v>
      </c>
      <c r="D138" s="32" t="s">
        <v>8</v>
      </c>
      <c r="E138" s="33">
        <f ca="1">VLOOKUP($B138, Rekap_Tugas!$A$3:$I$161, 4, FALSE)</f>
        <v>95.5</v>
      </c>
      <c r="F138" s="33">
        <f ca="1">VLOOKUP($B138, Rekap_Tugas!$A$3:$I$161, 5, FALSE)</f>
        <v>115</v>
      </c>
      <c r="G138" s="33">
        <f ca="1">VLOOKUP($B138, Rekap_Tugas!$A$3:$I$161, 6, FALSE)</f>
        <v>105</v>
      </c>
      <c r="H138" s="34">
        <f t="shared" ca="1" si="38"/>
        <v>105.16666666666667</v>
      </c>
      <c r="I138" s="33">
        <f ca="1">VLOOKUP($B138, Rekap_Tugas!$A$3:$I$161, 7, FALSE)</f>
        <v>92</v>
      </c>
      <c r="J138" s="33">
        <f ca="1">VLOOKUP($B138, Rekap_Tugas!$A$3:$I$161, 8, FALSE)</f>
        <v>108</v>
      </c>
      <c r="K138" s="33">
        <f ca="1">VLOOKUP($B138, Rekap_Tugas!$A$3:$I$161, 9, FALSE)</f>
        <v>102.5</v>
      </c>
      <c r="L138" s="35">
        <f t="shared" ca="1" si="39"/>
        <v>100.83333333333333</v>
      </c>
      <c r="M138" s="36">
        <f>VLOOKUP(B138,UTS!$B$5:$M$163,12,FALSE)</f>
        <v>87.5</v>
      </c>
      <c r="N138" s="37">
        <f>VLOOKUP(B138,UAS!$B$5:$L$163,11,FALSE)</f>
        <v>93.5</v>
      </c>
      <c r="O138" s="38" t="s">
        <v>15</v>
      </c>
      <c r="P138" s="39">
        <v>75</v>
      </c>
      <c r="Q138" s="44">
        <v>25</v>
      </c>
      <c r="R138" s="36">
        <f t="shared" si="40"/>
        <v>92.592592592592595</v>
      </c>
      <c r="S138" s="35">
        <f t="shared" ca="1" si="41"/>
        <v>93.527314814814815</v>
      </c>
      <c r="T138" s="24" t="str">
        <f>VLOOKUP(B138,UAS!$B$5:$M$163,12,FALSE)</f>
        <v>A</v>
      </c>
      <c r="U138" s="40" t="str">
        <f t="shared" ca="1" si="42"/>
        <v>A</v>
      </c>
      <c r="V138" s="41" t="str">
        <f t="shared" si="43"/>
        <v>Muhammad Zaki Amanullah</v>
      </c>
      <c r="W138" s="42">
        <f t="shared" si="44"/>
        <v>13521146</v>
      </c>
      <c r="X138" s="42">
        <f t="shared" si="45"/>
        <v>53</v>
      </c>
      <c r="Y138" s="12"/>
      <c r="Z138" s="2"/>
    </row>
    <row r="139" spans="1:26" ht="15" x14ac:dyDescent="0.25">
      <c r="A139" s="30">
        <v>54</v>
      </c>
      <c r="B139" s="30">
        <v>13521148</v>
      </c>
      <c r="C139" s="31" t="s">
        <v>51</v>
      </c>
      <c r="D139" s="32" t="s">
        <v>8</v>
      </c>
      <c r="E139" s="33">
        <f ca="1">VLOOKUP($B139, Rekap_Tugas!$A$3:$I$161, 4, FALSE)</f>
        <v>98.5</v>
      </c>
      <c r="F139" s="33">
        <f ca="1">VLOOKUP($B139, Rekap_Tugas!$A$3:$I$161, 5, FALSE)</f>
        <v>114</v>
      </c>
      <c r="G139" s="33">
        <f ca="1">VLOOKUP($B139, Rekap_Tugas!$A$3:$I$161, 6, FALSE)</f>
        <v>110</v>
      </c>
      <c r="H139" s="34">
        <f t="shared" ca="1" si="38"/>
        <v>107.5</v>
      </c>
      <c r="I139" s="33">
        <f ca="1">VLOOKUP($B139, Rekap_Tugas!$A$3:$I$161, 7, FALSE)</f>
        <v>105</v>
      </c>
      <c r="J139" s="33">
        <f ca="1">VLOOKUP($B139, Rekap_Tugas!$A$3:$I$161, 8, FALSE)</f>
        <v>110</v>
      </c>
      <c r="K139" s="33">
        <f ca="1">VLOOKUP($B139, Rekap_Tugas!$A$3:$I$161, 9, FALSE)</f>
        <v>106.5</v>
      </c>
      <c r="L139" s="35">
        <f t="shared" ca="1" si="39"/>
        <v>107.16666666666667</v>
      </c>
      <c r="M139" s="36">
        <f>VLOOKUP(B139,UTS!$B$5:$M$163,12,FALSE)</f>
        <v>91</v>
      </c>
      <c r="N139" s="37">
        <f>VLOOKUP(B139,UAS!$B$5:$L$163,11,FALSE)</f>
        <v>98.5</v>
      </c>
      <c r="O139" s="38" t="s">
        <v>18</v>
      </c>
      <c r="P139" s="39">
        <v>85</v>
      </c>
      <c r="Q139" s="44">
        <v>26</v>
      </c>
      <c r="R139" s="36">
        <f t="shared" si="40"/>
        <v>96.296296296296291</v>
      </c>
      <c r="S139" s="35">
        <f t="shared" ca="1" si="41"/>
        <v>98.076157407407408</v>
      </c>
      <c r="T139" s="24" t="str">
        <f>VLOOKUP(B139,UAS!$B$5:$M$163,12,FALSE)</f>
        <v>A</v>
      </c>
      <c r="U139" s="40" t="str">
        <f t="shared" ca="1" si="42"/>
        <v>A</v>
      </c>
      <c r="V139" s="41" t="str">
        <f t="shared" si="43"/>
        <v>Johanes Lee</v>
      </c>
      <c r="W139" s="42">
        <f t="shared" si="44"/>
        <v>13521148</v>
      </c>
      <c r="X139" s="42">
        <f t="shared" si="45"/>
        <v>54</v>
      </c>
      <c r="Y139" s="12"/>
      <c r="Z139" s="2"/>
    </row>
    <row r="140" spans="1:26" ht="15" x14ac:dyDescent="0.25">
      <c r="A140" s="30">
        <v>55</v>
      </c>
      <c r="B140" s="30">
        <v>13521150</v>
      </c>
      <c r="C140" s="31" t="s">
        <v>83</v>
      </c>
      <c r="D140" s="32" t="s">
        <v>8</v>
      </c>
      <c r="E140" s="33">
        <f ca="1">VLOOKUP($B140, Rekap_Tugas!$A$3:$I$161, 4, FALSE)</f>
        <v>96.5</v>
      </c>
      <c r="F140" s="33">
        <f ca="1">VLOOKUP($B140, Rekap_Tugas!$A$3:$I$161, 5, FALSE)</f>
        <v>114</v>
      </c>
      <c r="G140" s="33">
        <f ca="1">VLOOKUP($B140, Rekap_Tugas!$A$3:$I$161, 6, FALSE)</f>
        <v>110</v>
      </c>
      <c r="H140" s="34">
        <f t="shared" ca="1" si="38"/>
        <v>106.83333333333333</v>
      </c>
      <c r="I140" s="33">
        <f ca="1">VLOOKUP($B140, Rekap_Tugas!$A$3:$I$161, 7, FALSE)</f>
        <v>102</v>
      </c>
      <c r="J140" s="33">
        <f ca="1">VLOOKUP($B140, Rekap_Tugas!$A$3:$I$161, 8, FALSE)</f>
        <v>109</v>
      </c>
      <c r="K140" s="33">
        <f ca="1">VLOOKUP($B140, Rekap_Tugas!$A$3:$I$161, 9, FALSE)</f>
        <v>110</v>
      </c>
      <c r="L140" s="35">
        <f t="shared" ca="1" si="39"/>
        <v>107</v>
      </c>
      <c r="M140" s="36">
        <f>VLOOKUP(B140,UTS!$B$5:$M$163,12,FALSE)</f>
        <v>80.5</v>
      </c>
      <c r="N140" s="37">
        <f>VLOOKUP(B140,UAS!$B$5:$L$163,11,FALSE)</f>
        <v>90.5</v>
      </c>
      <c r="O140" s="38" t="s">
        <v>44</v>
      </c>
      <c r="P140" s="39">
        <v>90</v>
      </c>
      <c r="Q140" s="44">
        <v>27</v>
      </c>
      <c r="R140" s="36">
        <f t="shared" si="40"/>
        <v>100</v>
      </c>
      <c r="S140" s="35">
        <f t="shared" ca="1" si="41"/>
        <v>92.512500000000003</v>
      </c>
      <c r="T140" s="24" t="str">
        <f>VLOOKUP(B140,UAS!$B$5:$M$163,12,FALSE)</f>
        <v>AB</v>
      </c>
      <c r="U140" s="40" t="str">
        <f t="shared" ca="1" si="42"/>
        <v>A</v>
      </c>
      <c r="V140" s="41" t="str">
        <f t="shared" si="43"/>
        <v>I Putu Bakta Hari Sudewa</v>
      </c>
      <c r="W140" s="42">
        <f t="shared" si="44"/>
        <v>13521150</v>
      </c>
      <c r="X140" s="42">
        <f t="shared" si="45"/>
        <v>55</v>
      </c>
      <c r="Y140" s="12"/>
      <c r="Z140" s="2"/>
    </row>
    <row r="141" spans="1:26" ht="15" x14ac:dyDescent="0.25">
      <c r="A141" s="30">
        <v>56</v>
      </c>
      <c r="B141" s="30">
        <v>13521152</v>
      </c>
      <c r="C141" s="31" t="s">
        <v>149</v>
      </c>
      <c r="D141" s="32" t="s">
        <v>8</v>
      </c>
      <c r="E141" s="33">
        <f ca="1">VLOOKUP($B141, Rekap_Tugas!$A$3:$I$161, 4, FALSE)</f>
        <v>79.5</v>
      </c>
      <c r="F141" s="33">
        <f ca="1">VLOOKUP($B141, Rekap_Tugas!$A$3:$I$161, 5, FALSE)</f>
        <v>101</v>
      </c>
      <c r="G141" s="33">
        <f ca="1">VLOOKUP($B141, Rekap_Tugas!$A$3:$I$161, 6, FALSE)</f>
        <v>103</v>
      </c>
      <c r="H141" s="34">
        <f t="shared" ca="1" si="38"/>
        <v>94.5</v>
      </c>
      <c r="I141" s="33">
        <f ca="1">VLOOKUP($B141, Rekap_Tugas!$A$3:$I$161, 7, FALSE)</f>
        <v>103</v>
      </c>
      <c r="J141" s="33">
        <f ca="1">VLOOKUP($B141, Rekap_Tugas!$A$3:$I$161, 8, FALSE)</f>
        <v>105</v>
      </c>
      <c r="K141" s="33">
        <f ca="1">VLOOKUP($B141, Rekap_Tugas!$A$3:$I$161, 9, FALSE)</f>
        <v>101.5</v>
      </c>
      <c r="L141" s="35">
        <f t="shared" ca="1" si="39"/>
        <v>103.16666666666667</v>
      </c>
      <c r="M141" s="36">
        <f>VLOOKUP(B141,UTS!$B$5:$M$163,12,FALSE)</f>
        <v>74.5</v>
      </c>
      <c r="N141" s="37">
        <f>VLOOKUP(B141,UAS!$B$5:$L$163,11,FALSE)</f>
        <v>77.5</v>
      </c>
      <c r="O141" s="38" t="s">
        <v>17</v>
      </c>
      <c r="P141" s="39">
        <v>80</v>
      </c>
      <c r="Q141" s="44">
        <v>25</v>
      </c>
      <c r="R141" s="36">
        <f t="shared" si="40"/>
        <v>92.592592592592595</v>
      </c>
      <c r="S141" s="35">
        <f t="shared" ca="1" si="41"/>
        <v>83.464814814814815</v>
      </c>
      <c r="T141" s="24" t="str">
        <f>VLOOKUP(B141,UAS!$B$5:$M$163,12,FALSE)</f>
        <v>A</v>
      </c>
      <c r="U141" s="40" t="str">
        <f t="shared" ca="1" si="42"/>
        <v>AB</v>
      </c>
      <c r="V141" s="41" t="str">
        <f t="shared" si="43"/>
        <v>Muhammad Naufal Nalendra</v>
      </c>
      <c r="W141" s="42">
        <f t="shared" si="44"/>
        <v>13521152</v>
      </c>
      <c r="X141" s="42">
        <f t="shared" si="45"/>
        <v>56</v>
      </c>
      <c r="Y141" s="12"/>
      <c r="Z141" s="2"/>
    </row>
    <row r="142" spans="1:26" ht="15" x14ac:dyDescent="0.25">
      <c r="A142" s="30">
        <v>57</v>
      </c>
      <c r="B142" s="30">
        <v>13521156</v>
      </c>
      <c r="C142" s="31" t="s">
        <v>137</v>
      </c>
      <c r="D142" s="32" t="s">
        <v>8</v>
      </c>
      <c r="E142" s="33">
        <f ca="1">VLOOKUP($B142, Rekap_Tugas!$A$3:$I$161, 4, FALSE)</f>
        <v>91.5</v>
      </c>
      <c r="F142" s="33">
        <f ca="1">VLOOKUP($B142, Rekap_Tugas!$A$3:$I$161, 5, FALSE)</f>
        <v>114</v>
      </c>
      <c r="G142" s="33">
        <f ca="1">VLOOKUP($B142, Rekap_Tugas!$A$3:$I$161, 6, FALSE)</f>
        <v>110</v>
      </c>
      <c r="H142" s="34">
        <f t="shared" ca="1" si="38"/>
        <v>105.16666666666667</v>
      </c>
      <c r="I142" s="33">
        <f ca="1">VLOOKUP($B142, Rekap_Tugas!$A$3:$I$161, 7, FALSE)</f>
        <v>107</v>
      </c>
      <c r="J142" s="33">
        <f ca="1">VLOOKUP($B142, Rekap_Tugas!$A$3:$I$161, 8, FALSE)</f>
        <v>105</v>
      </c>
      <c r="K142" s="33">
        <f ca="1">VLOOKUP($B142, Rekap_Tugas!$A$3:$I$161, 9, FALSE)</f>
        <v>106.5</v>
      </c>
      <c r="L142" s="35">
        <f t="shared" ca="1" si="39"/>
        <v>106.16666666666667</v>
      </c>
      <c r="M142" s="36">
        <f>VLOOKUP(B142,UTS!$B$5:$M$163,12,FALSE)</f>
        <v>68.5</v>
      </c>
      <c r="N142" s="37">
        <f>VLOOKUP(B142,UAS!$B$5:$L$163,11,FALSE)</f>
        <v>80.5</v>
      </c>
      <c r="O142" s="38" t="s">
        <v>18</v>
      </c>
      <c r="P142" s="39">
        <v>85</v>
      </c>
      <c r="Q142" s="44">
        <v>25</v>
      </c>
      <c r="R142" s="36">
        <f t="shared" si="40"/>
        <v>92.592592592592595</v>
      </c>
      <c r="S142" s="35">
        <f t="shared" ca="1" si="41"/>
        <v>84.827314814814812</v>
      </c>
      <c r="T142" s="24" t="str">
        <f>VLOOKUP(B142,UAS!$B$5:$M$163,12,FALSE)</f>
        <v>AB</v>
      </c>
      <c r="U142" s="40" t="str">
        <f t="shared" ca="1" si="42"/>
        <v>A</v>
      </c>
      <c r="V142" s="41" t="str">
        <f t="shared" si="43"/>
        <v>Brigita Tri Carolina</v>
      </c>
      <c r="W142" s="42">
        <f t="shared" si="44"/>
        <v>13521156</v>
      </c>
      <c r="X142" s="42">
        <f t="shared" si="45"/>
        <v>57</v>
      </c>
      <c r="Y142" s="12"/>
      <c r="Z142" s="2"/>
    </row>
    <row r="143" spans="1:26" ht="15" x14ac:dyDescent="0.25">
      <c r="A143" s="30">
        <v>58</v>
      </c>
      <c r="B143" s="30">
        <v>13521158</v>
      </c>
      <c r="C143" s="31" t="s">
        <v>209</v>
      </c>
      <c r="D143" s="32" t="s">
        <v>8</v>
      </c>
      <c r="E143" s="33">
        <f ca="1">VLOOKUP($B143, Rekap_Tugas!$A$3:$I$161, 4, FALSE)</f>
        <v>49</v>
      </c>
      <c r="F143" s="33">
        <f ca="1">VLOOKUP($B143, Rekap_Tugas!$A$3:$I$161, 5, FALSE)</f>
        <v>69</v>
      </c>
      <c r="G143" s="33">
        <f ca="1">VLOOKUP($B143, Rekap_Tugas!$A$3:$I$161, 6, FALSE)</f>
        <v>0</v>
      </c>
      <c r="H143" s="34">
        <f t="shared" ca="1" si="38"/>
        <v>39.333333333333336</v>
      </c>
      <c r="I143" s="33">
        <f ca="1">VLOOKUP($B143, Rekap_Tugas!$A$3:$I$161, 7, FALSE)</f>
        <v>53</v>
      </c>
      <c r="J143" s="33">
        <f ca="1">VLOOKUP($B143, Rekap_Tugas!$A$3:$I$161, 8, FALSE)</f>
        <v>62</v>
      </c>
      <c r="K143" s="33">
        <f ca="1">VLOOKUP($B143, Rekap_Tugas!$A$3:$I$161, 9, FALSE)</f>
        <v>0</v>
      </c>
      <c r="L143" s="35">
        <f t="shared" ca="1" si="39"/>
        <v>38.333333333333336</v>
      </c>
      <c r="M143" s="36">
        <f>VLOOKUP(B143,UTS!$B$5:$M$163,12,FALSE)</f>
        <v>0</v>
      </c>
      <c r="N143" s="37">
        <f>VLOOKUP(B143,UAS!$B$5:$L$163,11,FALSE)</f>
        <v>0</v>
      </c>
      <c r="O143" s="38"/>
      <c r="P143" s="39">
        <v>0</v>
      </c>
      <c r="Q143" s="44">
        <v>16</v>
      </c>
      <c r="R143" s="36">
        <f t="shared" si="40"/>
        <v>59.259259259259252</v>
      </c>
      <c r="S143" s="35">
        <f t="shared" ca="1" si="41"/>
        <v>13.131481481481481</v>
      </c>
      <c r="T143" s="24">
        <f>VLOOKUP(B143,UAS!$B$5:$M$163,12,FALSE)</f>
        <v>0</v>
      </c>
      <c r="U143" s="40" t="str">
        <f t="shared" ca="1" si="42"/>
        <v>E</v>
      </c>
      <c r="V143" s="41" t="str">
        <f t="shared" si="43"/>
        <v>Muhammad Dhiwaul Akbar</v>
      </c>
      <c r="W143" s="42">
        <f t="shared" si="44"/>
        <v>13521158</v>
      </c>
      <c r="X143" s="42">
        <f t="shared" si="45"/>
        <v>58</v>
      </c>
      <c r="Y143" s="12"/>
      <c r="Z143" s="2"/>
    </row>
    <row r="144" spans="1:26" ht="15" x14ac:dyDescent="0.25">
      <c r="A144" s="30">
        <v>59</v>
      </c>
      <c r="B144" s="30">
        <v>13521160</v>
      </c>
      <c r="C144" s="31" t="s">
        <v>119</v>
      </c>
      <c r="D144" s="32" t="s">
        <v>8</v>
      </c>
      <c r="E144" s="33">
        <f ca="1">VLOOKUP($B144, Rekap_Tugas!$A$3:$I$161, 4, FALSE)</f>
        <v>81</v>
      </c>
      <c r="F144" s="33">
        <f ca="1">VLOOKUP($B144, Rekap_Tugas!$A$3:$I$161, 5, FALSE)</f>
        <v>107</v>
      </c>
      <c r="G144" s="33">
        <f ca="1">VLOOKUP($B144, Rekap_Tugas!$A$3:$I$161, 6, FALSE)</f>
        <v>106</v>
      </c>
      <c r="H144" s="34">
        <f t="shared" ca="1" si="38"/>
        <v>98</v>
      </c>
      <c r="I144" s="33">
        <f ca="1">VLOOKUP($B144, Rekap_Tugas!$A$3:$I$161, 7, FALSE)</f>
        <v>106</v>
      </c>
      <c r="J144" s="33">
        <f ca="1">VLOOKUP($B144, Rekap_Tugas!$A$3:$I$161, 8, FALSE)</f>
        <v>107</v>
      </c>
      <c r="K144" s="33">
        <f ca="1">VLOOKUP($B144, Rekap_Tugas!$A$3:$I$161, 9, FALSE)</f>
        <v>102.5</v>
      </c>
      <c r="L144" s="35">
        <f t="shared" ca="1" si="39"/>
        <v>105.16666666666667</v>
      </c>
      <c r="M144" s="36">
        <f>VLOOKUP(B144,UTS!$B$5:$M$163,12,FALSE)</f>
        <v>83.5</v>
      </c>
      <c r="N144" s="37">
        <f>VLOOKUP(B144,UAS!$B$5:$L$163,11,FALSE)</f>
        <v>78.5</v>
      </c>
      <c r="O144" s="38" t="s">
        <v>18</v>
      </c>
      <c r="P144" s="39">
        <v>85</v>
      </c>
      <c r="Q144" s="44">
        <v>25</v>
      </c>
      <c r="R144" s="36">
        <f t="shared" si="40"/>
        <v>92.592592592592595</v>
      </c>
      <c r="S144" s="35">
        <f t="shared" ca="1" si="41"/>
        <v>87.664814814814804</v>
      </c>
      <c r="T144" s="24" t="str">
        <f>VLOOKUP(B144,UAS!$B$5:$M$163,12,FALSE)</f>
        <v>A</v>
      </c>
      <c r="U144" s="40" t="str">
        <f t="shared" ca="1" si="42"/>
        <v>A</v>
      </c>
      <c r="V144" s="41" t="str">
        <f t="shared" si="43"/>
        <v>M. Dimas Sakti Widyatmaja</v>
      </c>
      <c r="W144" s="42">
        <f t="shared" si="44"/>
        <v>13521160</v>
      </c>
      <c r="X144" s="42">
        <f t="shared" si="45"/>
        <v>59</v>
      </c>
      <c r="Y144" s="12"/>
      <c r="Z144" s="2"/>
    </row>
    <row r="145" spans="1:26" ht="15" x14ac:dyDescent="0.25">
      <c r="A145" s="30">
        <v>60</v>
      </c>
      <c r="B145" s="30">
        <v>13521162</v>
      </c>
      <c r="C145" s="31" t="s">
        <v>52</v>
      </c>
      <c r="D145" s="32" t="s">
        <v>8</v>
      </c>
      <c r="E145" s="33">
        <f ca="1">VLOOKUP($B145, Rekap_Tugas!$A$3:$I$161, 4, FALSE)</f>
        <v>97</v>
      </c>
      <c r="F145" s="33">
        <f ca="1">VLOOKUP($B145, Rekap_Tugas!$A$3:$I$161, 5, FALSE)</f>
        <v>115</v>
      </c>
      <c r="G145" s="33">
        <f ca="1">VLOOKUP($B145, Rekap_Tugas!$A$3:$I$161, 6, FALSE)</f>
        <v>100</v>
      </c>
      <c r="H145" s="34">
        <f t="shared" ca="1" si="38"/>
        <v>104</v>
      </c>
      <c r="I145" s="33">
        <f ca="1">VLOOKUP($B145, Rekap_Tugas!$A$3:$I$161, 7, FALSE)</f>
        <v>102</v>
      </c>
      <c r="J145" s="33">
        <f ca="1">VLOOKUP($B145, Rekap_Tugas!$A$3:$I$161, 8, FALSE)</f>
        <v>111</v>
      </c>
      <c r="K145" s="33">
        <f ca="1">VLOOKUP($B145, Rekap_Tugas!$A$3:$I$161, 9, FALSE)</f>
        <v>102</v>
      </c>
      <c r="L145" s="35">
        <f t="shared" ca="1" si="39"/>
        <v>105</v>
      </c>
      <c r="M145" s="36">
        <f>VLOOKUP(B145,UTS!$B$5:$M$163,12,FALSE)</f>
        <v>96</v>
      </c>
      <c r="N145" s="37">
        <f>VLOOKUP(B145,UAS!$B$5:$L$163,11,FALSE)</f>
        <v>95</v>
      </c>
      <c r="O145" s="38" t="s">
        <v>53</v>
      </c>
      <c r="P145" s="39">
        <v>85</v>
      </c>
      <c r="Q145" s="44">
        <v>27</v>
      </c>
      <c r="R145" s="36">
        <f t="shared" si="40"/>
        <v>100</v>
      </c>
      <c r="S145" s="35">
        <f t="shared" ca="1" si="41"/>
        <v>97.787499999999994</v>
      </c>
      <c r="T145" s="24" t="str">
        <f>VLOOKUP(B145,UAS!$B$5:$M$163,12,FALSE)</f>
        <v>A</v>
      </c>
      <c r="U145" s="40" t="str">
        <f t="shared" ca="1" si="42"/>
        <v>A</v>
      </c>
      <c r="V145" s="41" t="str">
        <f t="shared" si="43"/>
        <v>Antonio Natthan Krishna</v>
      </c>
      <c r="W145" s="42">
        <f t="shared" si="44"/>
        <v>13521162</v>
      </c>
      <c r="X145" s="42">
        <f t="shared" si="45"/>
        <v>60</v>
      </c>
      <c r="Y145" s="12"/>
      <c r="Z145" s="2"/>
    </row>
    <row r="146" spans="1:26" ht="15" x14ac:dyDescent="0.25">
      <c r="A146" s="30">
        <v>61</v>
      </c>
      <c r="B146" s="30">
        <v>13521164</v>
      </c>
      <c r="C146" s="31" t="s">
        <v>127</v>
      </c>
      <c r="D146" s="32" t="s">
        <v>8</v>
      </c>
      <c r="E146" s="33">
        <f ca="1">VLOOKUP($B146, Rekap_Tugas!$A$3:$I$161, 4, FALSE)</f>
        <v>94</v>
      </c>
      <c r="F146" s="33">
        <f ca="1">VLOOKUP($B146, Rekap_Tugas!$A$3:$I$161, 5, FALSE)</f>
        <v>113</v>
      </c>
      <c r="G146" s="33">
        <f ca="1">VLOOKUP($B146, Rekap_Tugas!$A$3:$I$161, 6, FALSE)</f>
        <v>101</v>
      </c>
      <c r="H146" s="34">
        <f t="shared" ca="1" si="38"/>
        <v>102.66666666666667</v>
      </c>
      <c r="I146" s="33">
        <f ca="1">VLOOKUP($B146, Rekap_Tugas!$A$3:$I$161, 7, FALSE)</f>
        <v>106</v>
      </c>
      <c r="J146" s="33">
        <f ca="1">VLOOKUP($B146, Rekap_Tugas!$A$3:$I$161, 8, FALSE)</f>
        <v>96.5</v>
      </c>
      <c r="K146" s="33">
        <f ca="1">VLOOKUP($B146, Rekap_Tugas!$A$3:$I$161, 9, FALSE)</f>
        <v>88.5</v>
      </c>
      <c r="L146" s="35">
        <f t="shared" ca="1" si="39"/>
        <v>97</v>
      </c>
      <c r="M146" s="36">
        <f>VLOOKUP(B146,UTS!$B$5:$M$163,12,FALSE)</f>
        <v>73.5</v>
      </c>
      <c r="N146" s="37">
        <f>VLOOKUP(B146,UAS!$B$5:$L$163,11,FALSE)</f>
        <v>89</v>
      </c>
      <c r="O146" s="38" t="s">
        <v>17</v>
      </c>
      <c r="P146" s="39">
        <v>80</v>
      </c>
      <c r="Q146" s="44">
        <v>24</v>
      </c>
      <c r="R146" s="36">
        <f t="shared" si="40"/>
        <v>88.888888888888886</v>
      </c>
      <c r="S146" s="35">
        <f t="shared" ca="1" si="41"/>
        <v>86.953472222222231</v>
      </c>
      <c r="T146" s="24" t="str">
        <f>VLOOKUP(B146,UAS!$B$5:$M$163,12,FALSE)</f>
        <v>AB</v>
      </c>
      <c r="U146" s="40" t="str">
        <f t="shared" ca="1" si="42"/>
        <v>A</v>
      </c>
      <c r="V146" s="41" t="str">
        <f t="shared" si="43"/>
        <v>Akhmad Setiawan</v>
      </c>
      <c r="W146" s="42">
        <f t="shared" si="44"/>
        <v>13521164</v>
      </c>
      <c r="X146" s="42">
        <f t="shared" si="45"/>
        <v>61</v>
      </c>
      <c r="Y146" s="12"/>
      <c r="Z146" s="2"/>
    </row>
    <row r="147" spans="1:26" ht="15" x14ac:dyDescent="0.25">
      <c r="A147" s="30">
        <v>62</v>
      </c>
      <c r="B147" s="30">
        <v>13521166</v>
      </c>
      <c r="C147" s="31" t="s">
        <v>86</v>
      </c>
      <c r="D147" s="32" t="s">
        <v>8</v>
      </c>
      <c r="E147" s="33">
        <f ca="1">VLOOKUP($B147, Rekap_Tugas!$A$3:$I$161, 4, FALSE)</f>
        <v>103</v>
      </c>
      <c r="F147" s="33">
        <f ca="1">VLOOKUP($B147, Rekap_Tugas!$A$3:$I$161, 5, FALSE)</f>
        <v>115</v>
      </c>
      <c r="G147" s="33">
        <f ca="1">VLOOKUP($B147, Rekap_Tugas!$A$3:$I$161, 6, FALSE)</f>
        <v>107</v>
      </c>
      <c r="H147" s="34">
        <f t="shared" ca="1" si="38"/>
        <v>108.33333333333333</v>
      </c>
      <c r="I147" s="33">
        <f ca="1">VLOOKUP($B147, Rekap_Tugas!$A$3:$I$161, 7, FALSE)</f>
        <v>106</v>
      </c>
      <c r="J147" s="33">
        <f ca="1">VLOOKUP($B147, Rekap_Tugas!$A$3:$I$161, 8, FALSE)</f>
        <v>108</v>
      </c>
      <c r="K147" s="33">
        <f ca="1">VLOOKUP($B147, Rekap_Tugas!$A$3:$I$161, 9, FALSE)</f>
        <v>103.5</v>
      </c>
      <c r="L147" s="35">
        <f t="shared" ca="1" si="39"/>
        <v>105.83333333333333</v>
      </c>
      <c r="M147" s="36">
        <f>VLOOKUP(B147,UTS!$B$5:$M$163,12,FALSE)</f>
        <v>81</v>
      </c>
      <c r="N147" s="37">
        <f>VLOOKUP(B147,UAS!$B$5:$L$163,11,FALSE)</f>
        <v>89.5</v>
      </c>
      <c r="O147" s="38" t="s">
        <v>44</v>
      </c>
      <c r="P147" s="39">
        <v>90</v>
      </c>
      <c r="Q147" s="44">
        <v>23</v>
      </c>
      <c r="R147" s="36">
        <f t="shared" si="40"/>
        <v>85.18518518518519</v>
      </c>
      <c r="S147" s="35">
        <f t="shared" ca="1" si="41"/>
        <v>92.035879629629633</v>
      </c>
      <c r="T147" s="24" t="str">
        <f>VLOOKUP(B147,UAS!$B$5:$M$163,12,FALSE)</f>
        <v>A</v>
      </c>
      <c r="U147" s="40" t="str">
        <f t="shared" ca="1" si="42"/>
        <v>A</v>
      </c>
      <c r="V147" s="41" t="str">
        <f t="shared" si="43"/>
        <v>Mohammad Rifqi Farhansyah</v>
      </c>
      <c r="W147" s="42">
        <f t="shared" si="44"/>
        <v>13521166</v>
      </c>
      <c r="X147" s="42">
        <f t="shared" si="45"/>
        <v>62</v>
      </c>
      <c r="Y147" s="12"/>
      <c r="Z147" s="2"/>
    </row>
    <row r="148" spans="1:26" ht="15" x14ac:dyDescent="0.25">
      <c r="A148" s="30">
        <v>63</v>
      </c>
      <c r="B148" s="30">
        <v>13521168</v>
      </c>
      <c r="C148" s="31" t="s">
        <v>205</v>
      </c>
      <c r="D148" s="32" t="s">
        <v>8</v>
      </c>
      <c r="E148" s="33">
        <f ca="1">VLOOKUP($B148, Rekap_Tugas!$A$3:$I$161, 4, FALSE)</f>
        <v>100</v>
      </c>
      <c r="F148" s="33">
        <f ca="1">VLOOKUP($B148, Rekap_Tugas!$A$3:$I$161, 5, FALSE)</f>
        <v>112</v>
      </c>
      <c r="G148" s="33">
        <f ca="1">VLOOKUP($B148, Rekap_Tugas!$A$3:$I$161, 6, FALSE)</f>
        <v>99</v>
      </c>
      <c r="H148" s="34">
        <f t="shared" ca="1" si="38"/>
        <v>103.66666666666667</v>
      </c>
      <c r="I148" s="33">
        <f ca="1">VLOOKUP($B148, Rekap_Tugas!$A$3:$I$161, 7, FALSE)</f>
        <v>106</v>
      </c>
      <c r="J148" s="33">
        <f ca="1">VLOOKUP($B148, Rekap_Tugas!$A$3:$I$161, 8, FALSE)</f>
        <v>112</v>
      </c>
      <c r="K148" s="33">
        <f ca="1">VLOOKUP($B148, Rekap_Tugas!$A$3:$I$161, 9, FALSE)</f>
        <v>89.5</v>
      </c>
      <c r="L148" s="35">
        <f t="shared" ca="1" si="39"/>
        <v>102.5</v>
      </c>
      <c r="M148" s="36">
        <f>VLOOKUP(B148,UTS!$B$5:$M$163,12,FALSE)</f>
        <v>39.5</v>
      </c>
      <c r="N148" s="37">
        <f>VLOOKUP(B148,UAS!$B$5:$L$163,11,FALSE)</f>
        <v>63.5</v>
      </c>
      <c r="O148" s="38" t="s">
        <v>44</v>
      </c>
      <c r="P148" s="39">
        <v>90</v>
      </c>
      <c r="Q148" s="44">
        <v>23</v>
      </c>
      <c r="R148" s="36">
        <f t="shared" si="40"/>
        <v>85.18518518518519</v>
      </c>
      <c r="S148" s="35">
        <f t="shared" ca="1" si="41"/>
        <v>69.74212962962963</v>
      </c>
      <c r="T148" s="24" t="str">
        <f>VLOOKUP(B148,UAS!$B$5:$M$163,12,FALSE)</f>
        <v>B</v>
      </c>
      <c r="U148" s="40" t="str">
        <f t="shared" ca="1" si="42"/>
        <v>BC</v>
      </c>
      <c r="V148" s="41" t="str">
        <f t="shared" si="43"/>
        <v>Satria Octavianus Nababan</v>
      </c>
      <c r="W148" s="42">
        <f t="shared" si="44"/>
        <v>13521168</v>
      </c>
      <c r="X148" s="42">
        <f t="shared" si="45"/>
        <v>63</v>
      </c>
      <c r="Y148" s="12"/>
      <c r="Z148" s="2"/>
    </row>
    <row r="149" spans="1:26" ht="15" x14ac:dyDescent="0.25">
      <c r="A149" s="30">
        <v>64</v>
      </c>
      <c r="B149" s="30">
        <v>13521170</v>
      </c>
      <c r="C149" s="31" t="s">
        <v>147</v>
      </c>
      <c r="D149" s="32" t="s">
        <v>8</v>
      </c>
      <c r="E149" s="33">
        <f ca="1">VLOOKUP($B149, Rekap_Tugas!$A$3:$I$161, 4, FALSE)</f>
        <v>97</v>
      </c>
      <c r="F149" s="33">
        <f ca="1">VLOOKUP($B149, Rekap_Tugas!$A$3:$I$161, 5, FALSE)</f>
        <v>114</v>
      </c>
      <c r="G149" s="33">
        <f ca="1">VLOOKUP($B149, Rekap_Tugas!$A$3:$I$161, 6, FALSE)</f>
        <v>103</v>
      </c>
      <c r="H149" s="34">
        <f t="shared" ref="H149:H179" ca="1" si="46">AVERAGE(E149:G149)</f>
        <v>104.66666666666667</v>
      </c>
      <c r="I149" s="33">
        <f ca="1">VLOOKUP($B149, Rekap_Tugas!$A$3:$I$161, 7, FALSE)</f>
        <v>104</v>
      </c>
      <c r="J149" s="33">
        <f ca="1">VLOOKUP($B149, Rekap_Tugas!$A$3:$I$161, 8, FALSE)</f>
        <v>112.5</v>
      </c>
      <c r="K149" s="33">
        <f ca="1">VLOOKUP($B149, Rekap_Tugas!$A$3:$I$161, 9, FALSE)</f>
        <v>105.5</v>
      </c>
      <c r="L149" s="35">
        <f t="shared" ref="L149:L179" ca="1" si="47">AVERAGE(I149:K149)</f>
        <v>107.33333333333333</v>
      </c>
      <c r="M149" s="36">
        <f>VLOOKUP(B149,UTS!$B$5:$M$163,12,FALSE)</f>
        <v>69</v>
      </c>
      <c r="N149" s="37">
        <f>VLOOKUP(B149,UAS!$B$5:$L$163,11,FALSE)</f>
        <v>75.5</v>
      </c>
      <c r="O149" s="38" t="s">
        <v>18</v>
      </c>
      <c r="P149" s="39">
        <v>85</v>
      </c>
      <c r="Q149" s="44">
        <v>27</v>
      </c>
      <c r="R149" s="36">
        <f t="shared" ref="R149:R179" si="48">(Q149/27)*100</f>
        <v>100</v>
      </c>
      <c r="S149" s="35">
        <f t="shared" ref="S149:S179" ca="1" si="49">$H$16*H149+$L$16*L149+$M$16*M149+$N$16*N149+$P$16*P149+$R$16*R149</f>
        <v>83.706249999999997</v>
      </c>
      <c r="T149" s="24" t="str">
        <f>VLOOKUP(B149,UAS!$B$5:$M$163,12,FALSE)</f>
        <v>A</v>
      </c>
      <c r="U149" s="40" t="str">
        <f t="shared" ref="U149:U179" ca="1" si="50">VLOOKUP(S149,$T$4:$U$10,2)</f>
        <v>AB</v>
      </c>
      <c r="V149" s="41" t="str">
        <f t="shared" ref="V149:V179" si="51">C149</f>
        <v>Haziq Abiyyu Mahdy</v>
      </c>
      <c r="W149" s="42">
        <f t="shared" ref="W149:W179" si="52">B149</f>
        <v>13521170</v>
      </c>
      <c r="X149" s="42">
        <f t="shared" ref="X149:X179" si="53">A149</f>
        <v>64</v>
      </c>
      <c r="Y149" s="12"/>
      <c r="Z149" s="2"/>
    </row>
    <row r="150" spans="1:26" ht="15" x14ac:dyDescent="0.25">
      <c r="A150" s="30">
        <v>65</v>
      </c>
      <c r="B150" s="30">
        <v>13521172</v>
      </c>
      <c r="C150" s="31" t="s">
        <v>50</v>
      </c>
      <c r="D150" s="32" t="s">
        <v>8</v>
      </c>
      <c r="E150" s="33">
        <f ca="1">VLOOKUP($B150, Rekap_Tugas!$A$3:$I$161, 4, FALSE)</f>
        <v>99</v>
      </c>
      <c r="F150" s="33">
        <f ca="1">VLOOKUP($B150, Rekap_Tugas!$A$3:$I$161, 5, FALSE)</f>
        <v>114</v>
      </c>
      <c r="G150" s="33">
        <f ca="1">VLOOKUP($B150, Rekap_Tugas!$A$3:$I$161, 6, FALSE)</f>
        <v>107</v>
      </c>
      <c r="H150" s="34">
        <f t="shared" ca="1" si="46"/>
        <v>106.66666666666667</v>
      </c>
      <c r="I150" s="33">
        <f ca="1">VLOOKUP($B150, Rekap_Tugas!$A$3:$I$161, 7, FALSE)</f>
        <v>106</v>
      </c>
      <c r="J150" s="33">
        <f ca="1">VLOOKUP($B150, Rekap_Tugas!$A$3:$I$161, 8, FALSE)</f>
        <v>105</v>
      </c>
      <c r="K150" s="33">
        <f ca="1">VLOOKUP($B150, Rekap_Tugas!$A$3:$I$161, 9, FALSE)</f>
        <v>106.5</v>
      </c>
      <c r="L150" s="35">
        <f t="shared" ca="1" si="47"/>
        <v>105.83333333333333</v>
      </c>
      <c r="M150" s="36">
        <f>VLOOKUP(B150,UTS!$B$5:$M$163,12,FALSE)</f>
        <v>91.5</v>
      </c>
      <c r="N150" s="37">
        <f>VLOOKUP(B150,UAS!$B$5:$L$163,11,FALSE)</f>
        <v>98</v>
      </c>
      <c r="O150" s="38" t="s">
        <v>44</v>
      </c>
      <c r="P150" s="39">
        <v>90</v>
      </c>
      <c r="Q150" s="44">
        <v>27</v>
      </c>
      <c r="R150" s="36">
        <f t="shared" si="48"/>
        <v>100</v>
      </c>
      <c r="S150" s="35">
        <f t="shared" ca="1" si="49"/>
        <v>98.09375</v>
      </c>
      <c r="T150" s="24" t="str">
        <f>VLOOKUP(B150,UAS!$B$5:$M$163,12,FALSE)</f>
        <v>A</v>
      </c>
      <c r="U150" s="40" t="str">
        <f t="shared" ca="1" si="50"/>
        <v>A</v>
      </c>
      <c r="V150" s="41" t="str">
        <f t="shared" si="51"/>
        <v>Nathan Tenka</v>
      </c>
      <c r="W150" s="42">
        <f t="shared" si="52"/>
        <v>13521172</v>
      </c>
      <c r="X150" s="42">
        <f t="shared" si="53"/>
        <v>65</v>
      </c>
      <c r="Y150" s="12"/>
      <c r="Z150" s="2"/>
    </row>
    <row r="151" spans="1:26" ht="15" x14ac:dyDescent="0.25">
      <c r="A151" s="30">
        <v>1</v>
      </c>
      <c r="B151" s="30">
        <v>13521001</v>
      </c>
      <c r="C151" s="31" t="s">
        <v>135</v>
      </c>
      <c r="D151" s="32" t="s">
        <v>9</v>
      </c>
      <c r="E151" s="33">
        <f ca="1">VLOOKUP($B151, Rekap_Tugas!$A$3:$I$161, 4, FALSE)</f>
        <v>93</v>
      </c>
      <c r="F151" s="33">
        <f ca="1">VLOOKUP($B151, Rekap_Tugas!$A$3:$I$161, 5, FALSE)</f>
        <v>111</v>
      </c>
      <c r="G151" s="33">
        <f ca="1">VLOOKUP($B151, Rekap_Tugas!$A$3:$I$161, 6, FALSE)</f>
        <v>103</v>
      </c>
      <c r="H151" s="34">
        <f t="shared" ca="1" si="46"/>
        <v>102.33333333333333</v>
      </c>
      <c r="I151" s="33">
        <f ca="1">VLOOKUP($B151, Rekap_Tugas!$A$3:$I$161, 7, FALSE)</f>
        <v>104</v>
      </c>
      <c r="J151" s="33">
        <f ca="1">VLOOKUP($B151, Rekap_Tugas!$A$3:$I$161, 8, FALSE)</f>
        <v>90.5</v>
      </c>
      <c r="K151" s="33">
        <f ca="1">VLOOKUP($B151, Rekap_Tugas!$A$3:$I$161, 9, FALSE)</f>
        <v>94.5</v>
      </c>
      <c r="L151" s="35">
        <f t="shared" ca="1" si="47"/>
        <v>96.333333333333329</v>
      </c>
      <c r="M151" s="36">
        <f>VLOOKUP(B151,UTS!$B$5:$M$163,12,FALSE)</f>
        <v>79</v>
      </c>
      <c r="N151" s="37">
        <f>VLOOKUP(B151,UAS!$B$5:$L$163,11,FALSE)</f>
        <v>79.5</v>
      </c>
      <c r="O151" s="38" t="s">
        <v>15</v>
      </c>
      <c r="P151" s="39">
        <v>75</v>
      </c>
      <c r="Q151" s="30">
        <v>26</v>
      </c>
      <c r="R151" s="36">
        <f t="shared" si="48"/>
        <v>96.296296296296291</v>
      </c>
      <c r="S151" s="35">
        <f t="shared" ca="1" si="49"/>
        <v>85.488657407407402</v>
      </c>
      <c r="T151" s="24" t="str">
        <f>VLOOKUP(B151,UAS!$B$5:$M$163,12,FALSE)</f>
        <v>AB</v>
      </c>
      <c r="U151" s="40" t="str">
        <f t="shared" ca="1" si="50"/>
        <v>A</v>
      </c>
      <c r="V151" s="41" t="str">
        <f t="shared" si="51"/>
        <v>Angger Ilham A</v>
      </c>
      <c r="W151" s="42">
        <f t="shared" si="52"/>
        <v>13521001</v>
      </c>
      <c r="X151" s="42">
        <f t="shared" si="53"/>
        <v>1</v>
      </c>
      <c r="Y151" s="12"/>
      <c r="Z151" s="2"/>
    </row>
    <row r="152" spans="1:26" ht="15" x14ac:dyDescent="0.25">
      <c r="A152" s="30">
        <v>2</v>
      </c>
      <c r="B152" s="30">
        <v>13521003</v>
      </c>
      <c r="C152" s="31" t="s">
        <v>150</v>
      </c>
      <c r="D152" s="32" t="s">
        <v>9</v>
      </c>
      <c r="E152" s="33">
        <f ca="1">VLOOKUP($B152, Rekap_Tugas!$A$3:$I$161, 4, FALSE)</f>
        <v>96</v>
      </c>
      <c r="F152" s="33">
        <f ca="1">VLOOKUP($B152, Rekap_Tugas!$A$3:$I$161, 5, FALSE)</f>
        <v>103</v>
      </c>
      <c r="G152" s="33">
        <f ca="1">VLOOKUP($B152, Rekap_Tugas!$A$3:$I$161, 6, FALSE)</f>
        <v>65</v>
      </c>
      <c r="H152" s="34">
        <f t="shared" ca="1" si="46"/>
        <v>88</v>
      </c>
      <c r="I152" s="33">
        <f ca="1">VLOOKUP($B152, Rekap_Tugas!$A$3:$I$161, 7, FALSE)</f>
        <v>106</v>
      </c>
      <c r="J152" s="33">
        <f ca="1">VLOOKUP($B152, Rekap_Tugas!$A$3:$I$161, 8, FALSE)</f>
        <v>82</v>
      </c>
      <c r="K152" s="33">
        <f ca="1">VLOOKUP($B152, Rekap_Tugas!$A$3:$I$161, 9, FALSE)</f>
        <v>70</v>
      </c>
      <c r="L152" s="35">
        <f t="shared" ca="1" si="47"/>
        <v>86</v>
      </c>
      <c r="M152" s="36">
        <f>VLOOKUP(B152,UTS!$B$5:$M$163,12,FALSE)</f>
        <v>79</v>
      </c>
      <c r="N152" s="37">
        <f>VLOOKUP(B152,UAS!$B$5:$L$163,11,FALSE)</f>
        <v>83.5</v>
      </c>
      <c r="O152" s="38" t="s">
        <v>17</v>
      </c>
      <c r="P152" s="39">
        <v>80</v>
      </c>
      <c r="Q152" s="30">
        <v>27</v>
      </c>
      <c r="R152" s="36">
        <f t="shared" si="48"/>
        <v>100</v>
      </c>
      <c r="S152" s="35">
        <f t="shared" ca="1" si="49"/>
        <v>83.381249999999994</v>
      </c>
      <c r="T152" s="24" t="str">
        <f>VLOOKUP(B152,UAS!$B$5:$M$163,12,FALSE)</f>
        <v>B</v>
      </c>
      <c r="U152" s="40" t="str">
        <f t="shared" ca="1" si="50"/>
        <v>AB</v>
      </c>
      <c r="V152" s="41" t="str">
        <f t="shared" si="51"/>
        <v>Bintang Hijriawan Jachja</v>
      </c>
      <c r="W152" s="42">
        <f t="shared" si="52"/>
        <v>13521003</v>
      </c>
      <c r="X152" s="42">
        <f t="shared" si="53"/>
        <v>2</v>
      </c>
      <c r="Y152" s="12"/>
      <c r="Z152" s="2"/>
    </row>
    <row r="153" spans="1:26" ht="15" x14ac:dyDescent="0.25">
      <c r="A153" s="30">
        <v>3</v>
      </c>
      <c r="B153" s="30">
        <v>13521004</v>
      </c>
      <c r="C153" s="31" t="s">
        <v>102</v>
      </c>
      <c r="D153" s="32" t="s">
        <v>9</v>
      </c>
      <c r="E153" s="33">
        <f ca="1">VLOOKUP($B153, Rekap_Tugas!$A$3:$I$161, 4, FALSE)</f>
        <v>91</v>
      </c>
      <c r="F153" s="33">
        <f ca="1">VLOOKUP($B153, Rekap_Tugas!$A$3:$I$161, 5, FALSE)</f>
        <v>114</v>
      </c>
      <c r="G153" s="33">
        <f ca="1">VLOOKUP($B153, Rekap_Tugas!$A$3:$I$161, 6, FALSE)</f>
        <v>95</v>
      </c>
      <c r="H153" s="34">
        <f t="shared" ca="1" si="46"/>
        <v>100</v>
      </c>
      <c r="I153" s="33">
        <f ca="1">VLOOKUP($B153, Rekap_Tugas!$A$3:$I$161, 7, FALSE)</f>
        <v>106</v>
      </c>
      <c r="J153" s="33">
        <f ca="1">VLOOKUP($B153, Rekap_Tugas!$A$3:$I$161, 8, FALSE)</f>
        <v>112</v>
      </c>
      <c r="K153" s="33">
        <f ca="1">VLOOKUP($B153, Rekap_Tugas!$A$3:$I$161, 9, FALSE)</f>
        <v>100.5</v>
      </c>
      <c r="L153" s="35">
        <f t="shared" ca="1" si="47"/>
        <v>106.16666666666667</v>
      </c>
      <c r="M153" s="36">
        <f>VLOOKUP(B153,UTS!$B$5:$M$163,12,FALSE)</f>
        <v>77.5</v>
      </c>
      <c r="N153" s="37">
        <f>VLOOKUP(B153,UAS!$B$5:$L$163,11,FALSE)</f>
        <v>88.5</v>
      </c>
      <c r="O153" s="38" t="s">
        <v>44</v>
      </c>
      <c r="P153" s="39">
        <v>90</v>
      </c>
      <c r="Q153" s="30">
        <v>27</v>
      </c>
      <c r="R153" s="36">
        <f t="shared" si="48"/>
        <v>100</v>
      </c>
      <c r="S153" s="35">
        <f t="shared" ca="1" si="49"/>
        <v>89.8</v>
      </c>
      <c r="T153" s="24" t="str">
        <f>VLOOKUP(B153,UAS!$B$5:$M$163,12,FALSE)</f>
        <v>A</v>
      </c>
      <c r="U153" s="40" t="str">
        <f t="shared" ca="1" si="50"/>
        <v>A</v>
      </c>
      <c r="V153" s="41" t="str">
        <f t="shared" si="51"/>
        <v>Henry Anand Septian Radityo</v>
      </c>
      <c r="W153" s="42">
        <f t="shared" si="52"/>
        <v>13521004</v>
      </c>
      <c r="X153" s="42">
        <f t="shared" si="53"/>
        <v>3</v>
      </c>
      <c r="Y153" s="12"/>
      <c r="Z153" s="2"/>
    </row>
    <row r="154" spans="1:26" ht="15" x14ac:dyDescent="0.25">
      <c r="A154" s="30">
        <v>4</v>
      </c>
      <c r="B154" s="30">
        <v>13521005</v>
      </c>
      <c r="C154" s="31" t="s">
        <v>177</v>
      </c>
      <c r="D154" s="32" t="s">
        <v>9</v>
      </c>
      <c r="E154" s="33">
        <f ca="1">VLOOKUP($B154, Rekap_Tugas!$A$3:$I$161, 4, FALSE)</f>
        <v>92.5</v>
      </c>
      <c r="F154" s="33">
        <f ca="1">VLOOKUP($B154, Rekap_Tugas!$A$3:$I$161, 5, FALSE)</f>
        <v>109</v>
      </c>
      <c r="G154" s="33">
        <f ca="1">VLOOKUP($B154, Rekap_Tugas!$A$3:$I$161, 6, FALSE)</f>
        <v>105</v>
      </c>
      <c r="H154" s="34">
        <f t="shared" ca="1" si="46"/>
        <v>102.16666666666667</v>
      </c>
      <c r="I154" s="33">
        <f ca="1">VLOOKUP($B154, Rekap_Tugas!$A$3:$I$161, 7, FALSE)</f>
        <v>105</v>
      </c>
      <c r="J154" s="33">
        <f ca="1">VLOOKUP($B154, Rekap_Tugas!$A$3:$I$161, 8, FALSE)</f>
        <v>90.5</v>
      </c>
      <c r="K154" s="33">
        <f ca="1">VLOOKUP($B154, Rekap_Tugas!$A$3:$I$161, 9, FALSE)</f>
        <v>53</v>
      </c>
      <c r="L154" s="35">
        <f t="shared" ca="1" si="47"/>
        <v>82.833333333333329</v>
      </c>
      <c r="M154" s="36">
        <f>VLOOKUP(B154,UTS!$B$5:$M$163,12,FALSE)</f>
        <v>74</v>
      </c>
      <c r="N154" s="37">
        <f>VLOOKUP(B154,UAS!$B$5:$L$163,11,FALSE)</f>
        <v>70</v>
      </c>
      <c r="O154" s="38" t="s">
        <v>15</v>
      </c>
      <c r="P154" s="39">
        <v>75</v>
      </c>
      <c r="Q154" s="30">
        <v>25</v>
      </c>
      <c r="R154" s="36">
        <f t="shared" si="48"/>
        <v>92.592592592592595</v>
      </c>
      <c r="S154" s="35">
        <f t="shared" ca="1" si="49"/>
        <v>78.81481481481481</v>
      </c>
      <c r="T154" s="24" t="str">
        <f>VLOOKUP(B154,UAS!$B$5:$M$163,12,FALSE)</f>
        <v>BC</v>
      </c>
      <c r="U154" s="40" t="str">
        <f t="shared" ca="1" si="50"/>
        <v>AB</v>
      </c>
      <c r="V154" s="41" t="str">
        <f t="shared" si="51"/>
        <v>Kelvin Rayhan Alkarim</v>
      </c>
      <c r="W154" s="42">
        <f t="shared" si="52"/>
        <v>13521005</v>
      </c>
      <c r="X154" s="42">
        <f t="shared" si="53"/>
        <v>4</v>
      </c>
      <c r="Y154" s="12"/>
      <c r="Z154" s="2"/>
    </row>
    <row r="155" spans="1:26" ht="15" x14ac:dyDescent="0.25">
      <c r="A155" s="30">
        <v>5</v>
      </c>
      <c r="B155" s="30">
        <v>13521006</v>
      </c>
      <c r="C155" s="31" t="s">
        <v>139</v>
      </c>
      <c r="D155" s="32" t="s">
        <v>9</v>
      </c>
      <c r="E155" s="33">
        <f ca="1">VLOOKUP($B155, Rekap_Tugas!$A$3:$I$161, 4, FALSE)</f>
        <v>95.5</v>
      </c>
      <c r="F155" s="33">
        <f ca="1">VLOOKUP($B155, Rekap_Tugas!$A$3:$I$161, 5, FALSE)</f>
        <v>108</v>
      </c>
      <c r="G155" s="33">
        <f ca="1">VLOOKUP($B155, Rekap_Tugas!$A$3:$I$161, 6, FALSE)</f>
        <v>104</v>
      </c>
      <c r="H155" s="34">
        <f t="shared" ca="1" si="46"/>
        <v>102.5</v>
      </c>
      <c r="I155" s="33">
        <f ca="1">VLOOKUP($B155, Rekap_Tugas!$A$3:$I$161, 7, FALSE)</f>
        <v>103</v>
      </c>
      <c r="J155" s="33">
        <f ca="1">VLOOKUP($B155, Rekap_Tugas!$A$3:$I$161, 8, FALSE)</f>
        <v>99</v>
      </c>
      <c r="K155" s="33">
        <f ca="1">VLOOKUP($B155, Rekap_Tugas!$A$3:$I$161, 9, FALSE)</f>
        <v>94.5</v>
      </c>
      <c r="L155" s="35">
        <f t="shared" ca="1" si="47"/>
        <v>98.833333333333329</v>
      </c>
      <c r="M155" s="36">
        <f>VLOOKUP(B155,UTS!$B$5:$M$163,12,FALSE)</f>
        <v>68.5</v>
      </c>
      <c r="N155" s="37">
        <f>VLOOKUP(B155,UAS!$B$5:$L$163,11,FALSE)</f>
        <v>85</v>
      </c>
      <c r="O155" s="38" t="s">
        <v>17</v>
      </c>
      <c r="P155" s="39">
        <v>80</v>
      </c>
      <c r="Q155" s="30">
        <v>27</v>
      </c>
      <c r="R155" s="36">
        <f t="shared" si="48"/>
        <v>100</v>
      </c>
      <c r="S155" s="35">
        <f t="shared" ca="1" si="49"/>
        <v>84.668750000000003</v>
      </c>
      <c r="T155" s="24" t="str">
        <f>VLOOKUP(B155,UAS!$B$5:$M$163,12,FALSE)</f>
        <v>AB</v>
      </c>
      <c r="U155" s="40" t="str">
        <f t="shared" ca="1" si="50"/>
        <v>A</v>
      </c>
      <c r="V155" s="41" t="str">
        <f t="shared" si="51"/>
        <v>Azmi Hasna Zahrani</v>
      </c>
      <c r="W155" s="42">
        <f t="shared" si="52"/>
        <v>13521006</v>
      </c>
      <c r="X155" s="42">
        <f t="shared" si="53"/>
        <v>5</v>
      </c>
      <c r="Y155" s="12"/>
      <c r="Z155" s="2"/>
    </row>
    <row r="156" spans="1:26" ht="15" x14ac:dyDescent="0.25">
      <c r="A156" s="30">
        <v>6</v>
      </c>
      <c r="B156" s="30">
        <v>13521007</v>
      </c>
      <c r="C156" s="31" t="s">
        <v>130</v>
      </c>
      <c r="D156" s="32" t="s">
        <v>9</v>
      </c>
      <c r="E156" s="33">
        <f ca="1">VLOOKUP($B156, Rekap_Tugas!$A$3:$I$161, 4, FALSE)</f>
        <v>97.5</v>
      </c>
      <c r="F156" s="33">
        <f ca="1">VLOOKUP($B156, Rekap_Tugas!$A$3:$I$161, 5, FALSE)</f>
        <v>111</v>
      </c>
      <c r="G156" s="33">
        <f ca="1">VLOOKUP($B156, Rekap_Tugas!$A$3:$I$161, 6, FALSE)</f>
        <v>105</v>
      </c>
      <c r="H156" s="34">
        <f t="shared" ca="1" si="46"/>
        <v>104.5</v>
      </c>
      <c r="I156" s="33">
        <f ca="1">VLOOKUP($B156, Rekap_Tugas!$A$3:$I$161, 7, FALSE)</f>
        <v>103</v>
      </c>
      <c r="J156" s="33">
        <f ca="1">VLOOKUP($B156, Rekap_Tugas!$A$3:$I$161, 8, FALSE)</f>
        <v>105</v>
      </c>
      <c r="K156" s="33">
        <f ca="1">VLOOKUP($B156, Rekap_Tugas!$A$3:$I$161, 9, FALSE)</f>
        <v>100.5</v>
      </c>
      <c r="L156" s="35">
        <f t="shared" ca="1" si="47"/>
        <v>102.83333333333333</v>
      </c>
      <c r="M156" s="36">
        <f>VLOOKUP(B156,UTS!$B$5:$M$163,12,FALSE)</f>
        <v>83</v>
      </c>
      <c r="N156" s="37">
        <f>VLOOKUP(B156,UAS!$B$5:$L$163,11,FALSE)</f>
        <v>72</v>
      </c>
      <c r="O156" s="38" t="s">
        <v>44</v>
      </c>
      <c r="P156" s="39">
        <v>90</v>
      </c>
      <c r="Q156" s="30">
        <v>27</v>
      </c>
      <c r="R156" s="36">
        <f t="shared" si="48"/>
        <v>100</v>
      </c>
      <c r="S156" s="35">
        <f t="shared" ca="1" si="49"/>
        <v>86.537499999999994</v>
      </c>
      <c r="T156" s="24" t="str">
        <f>VLOOKUP(B156,UAS!$B$5:$M$163,12,FALSE)</f>
        <v>B</v>
      </c>
      <c r="U156" s="40" t="str">
        <f t="shared" ca="1" si="50"/>
        <v>A</v>
      </c>
      <c r="V156" s="41" t="str">
        <f t="shared" si="51"/>
        <v>Matthew Mahendra</v>
      </c>
      <c r="W156" s="42">
        <f t="shared" si="52"/>
        <v>13521007</v>
      </c>
      <c r="X156" s="42">
        <f t="shared" si="53"/>
        <v>6</v>
      </c>
      <c r="Y156" s="12"/>
      <c r="Z156" s="2"/>
    </row>
    <row r="157" spans="1:26" ht="15" x14ac:dyDescent="0.25">
      <c r="A157" s="30">
        <v>7</v>
      </c>
      <c r="B157" s="30">
        <v>13521008</v>
      </c>
      <c r="C157" s="31" t="s">
        <v>111</v>
      </c>
      <c r="D157" s="32" t="s">
        <v>9</v>
      </c>
      <c r="E157" s="33">
        <f ca="1">VLOOKUP($B157, Rekap_Tugas!$A$3:$I$161, 4, FALSE)</f>
        <v>94.5</v>
      </c>
      <c r="F157" s="33">
        <f ca="1">VLOOKUP($B157, Rekap_Tugas!$A$3:$I$161, 5, FALSE)</f>
        <v>111.5</v>
      </c>
      <c r="G157" s="33">
        <f ca="1">VLOOKUP($B157, Rekap_Tugas!$A$3:$I$161, 6, FALSE)</f>
        <v>99</v>
      </c>
      <c r="H157" s="34">
        <f t="shared" ca="1" si="46"/>
        <v>101.66666666666667</v>
      </c>
      <c r="I157" s="33">
        <f ca="1">VLOOKUP($B157, Rekap_Tugas!$A$3:$I$161, 7, FALSE)</f>
        <v>98</v>
      </c>
      <c r="J157" s="33">
        <f ca="1">VLOOKUP($B157, Rekap_Tugas!$A$3:$I$161, 8, FALSE)</f>
        <v>96.5</v>
      </c>
      <c r="K157" s="33">
        <f ca="1">VLOOKUP($B157, Rekap_Tugas!$A$3:$I$161, 9, FALSE)</f>
        <v>91</v>
      </c>
      <c r="L157" s="35">
        <f t="shared" ca="1" si="47"/>
        <v>95.166666666666671</v>
      </c>
      <c r="M157" s="36">
        <f>VLOOKUP(B157,UTS!$B$5:$M$163,12,FALSE)</f>
        <v>85.5</v>
      </c>
      <c r="N157" s="37">
        <f>VLOOKUP(B157,UAS!$B$5:$L$163,11,FALSE)</f>
        <v>83</v>
      </c>
      <c r="O157" s="38" t="s">
        <v>44</v>
      </c>
      <c r="P157" s="39">
        <v>90</v>
      </c>
      <c r="Q157" s="30">
        <v>27</v>
      </c>
      <c r="R157" s="36">
        <f t="shared" si="48"/>
        <v>100</v>
      </c>
      <c r="S157" s="35">
        <f t="shared" ca="1" si="49"/>
        <v>89.181250000000006</v>
      </c>
      <c r="T157" s="24" t="str">
        <f>VLOOKUP(B157,UAS!$B$5:$M$163,12,FALSE)</f>
        <v>B</v>
      </c>
      <c r="U157" s="40" t="str">
        <f t="shared" ca="1" si="50"/>
        <v>A</v>
      </c>
      <c r="V157" s="41" t="str">
        <f t="shared" si="51"/>
        <v>Jason Rivalino</v>
      </c>
      <c r="W157" s="42">
        <f t="shared" si="52"/>
        <v>13521008</v>
      </c>
      <c r="X157" s="42">
        <f t="shared" si="53"/>
        <v>7</v>
      </c>
      <c r="Y157" s="12"/>
      <c r="Z157" s="2"/>
    </row>
    <row r="158" spans="1:26" ht="15" x14ac:dyDescent="0.25">
      <c r="A158" s="30">
        <v>8</v>
      </c>
      <c r="B158" s="30">
        <v>13521009</v>
      </c>
      <c r="C158" s="31" t="s">
        <v>189</v>
      </c>
      <c r="D158" s="32" t="s">
        <v>9</v>
      </c>
      <c r="E158" s="33">
        <f ca="1">VLOOKUP($B158, Rekap_Tugas!$A$3:$I$161, 4, FALSE)</f>
        <v>84</v>
      </c>
      <c r="F158" s="33">
        <f ca="1">VLOOKUP($B158, Rekap_Tugas!$A$3:$I$161, 5, FALSE)</f>
        <v>111</v>
      </c>
      <c r="G158" s="33">
        <f ca="1">VLOOKUP($B158, Rekap_Tugas!$A$3:$I$161, 6, FALSE)</f>
        <v>105</v>
      </c>
      <c r="H158" s="34">
        <f t="shared" ca="1" si="46"/>
        <v>100</v>
      </c>
      <c r="I158" s="33">
        <f ca="1">VLOOKUP($B158, Rekap_Tugas!$A$3:$I$161, 7, FALSE)</f>
        <v>106</v>
      </c>
      <c r="J158" s="33">
        <f ca="1">VLOOKUP($B158, Rekap_Tugas!$A$3:$I$161, 8, FALSE)</f>
        <v>74</v>
      </c>
      <c r="K158" s="33">
        <f ca="1">VLOOKUP($B158, Rekap_Tugas!$A$3:$I$161, 9, FALSE)</f>
        <v>53</v>
      </c>
      <c r="L158" s="35">
        <f t="shared" ca="1" si="47"/>
        <v>77.666666666666671</v>
      </c>
      <c r="M158" s="36">
        <f>VLOOKUP(B158,UTS!$B$5:$M$163,12,FALSE)</f>
        <v>59.5</v>
      </c>
      <c r="N158" s="37">
        <f>VLOOKUP(B158,UAS!$B$5:$L$163,11,FALSE)</f>
        <v>78.5</v>
      </c>
      <c r="O158" s="38" t="s">
        <v>15</v>
      </c>
      <c r="P158" s="39">
        <v>75</v>
      </c>
      <c r="Q158" s="30">
        <v>27</v>
      </c>
      <c r="R158" s="36">
        <f t="shared" si="48"/>
        <v>100</v>
      </c>
      <c r="S158" s="35">
        <f t="shared" ca="1" si="49"/>
        <v>76.025000000000006</v>
      </c>
      <c r="T158" s="24" t="str">
        <f>VLOOKUP(B158,UAS!$B$5:$M$163,12,FALSE)</f>
        <v>A</v>
      </c>
      <c r="U158" s="40" t="str">
        <f t="shared" ca="1" si="50"/>
        <v>B</v>
      </c>
      <c r="V158" s="41" t="str">
        <f t="shared" si="51"/>
        <v>Christophorus Dharma Winata</v>
      </c>
      <c r="W158" s="42">
        <f t="shared" si="52"/>
        <v>13521009</v>
      </c>
      <c r="X158" s="42">
        <f t="shared" si="53"/>
        <v>8</v>
      </c>
      <c r="Y158" s="12"/>
      <c r="Z158" s="2"/>
    </row>
    <row r="159" spans="1:26" ht="15" x14ac:dyDescent="0.25">
      <c r="A159" s="30">
        <v>9</v>
      </c>
      <c r="B159" s="30">
        <v>13521010</v>
      </c>
      <c r="C159" s="31" t="s">
        <v>152</v>
      </c>
      <c r="D159" s="32" t="s">
        <v>9</v>
      </c>
      <c r="E159" s="33">
        <f ca="1">VLOOKUP($B159, Rekap_Tugas!$A$3:$I$161, 4, FALSE)</f>
        <v>93.5</v>
      </c>
      <c r="F159" s="33">
        <f ca="1">VLOOKUP($B159, Rekap_Tugas!$A$3:$I$161, 5, FALSE)</f>
        <v>112</v>
      </c>
      <c r="G159" s="33">
        <f ca="1">VLOOKUP($B159, Rekap_Tugas!$A$3:$I$161, 6, FALSE)</f>
        <v>104</v>
      </c>
      <c r="H159" s="34">
        <f t="shared" ca="1" si="46"/>
        <v>103.16666666666667</v>
      </c>
      <c r="I159" s="33">
        <f ca="1">VLOOKUP($B159, Rekap_Tugas!$A$3:$I$161, 7, FALSE)</f>
        <v>98</v>
      </c>
      <c r="J159" s="33">
        <f ca="1">VLOOKUP($B159, Rekap_Tugas!$A$3:$I$161, 8, FALSE)</f>
        <v>105</v>
      </c>
      <c r="K159" s="33">
        <f ca="1">VLOOKUP($B159, Rekap_Tugas!$A$3:$I$161, 9, FALSE)</f>
        <v>86</v>
      </c>
      <c r="L159" s="35">
        <f t="shared" ca="1" si="47"/>
        <v>96.333333333333329</v>
      </c>
      <c r="M159" s="36">
        <f>VLOOKUP(B159,UTS!$B$5:$M$163,12,FALSE)</f>
        <v>74</v>
      </c>
      <c r="N159" s="37">
        <f>VLOOKUP(B159,UAS!$B$5:$L$163,11,FALSE)</f>
        <v>75</v>
      </c>
      <c r="O159" s="38" t="s">
        <v>18</v>
      </c>
      <c r="P159" s="39">
        <v>85</v>
      </c>
      <c r="Q159" s="30">
        <v>27</v>
      </c>
      <c r="R159" s="36">
        <f t="shared" si="48"/>
        <v>100</v>
      </c>
      <c r="S159" s="35">
        <f t="shared" ca="1" si="49"/>
        <v>83.237499999999997</v>
      </c>
      <c r="T159" s="24" t="str">
        <f>VLOOKUP(B159,UAS!$B$5:$M$163,12,FALSE)</f>
        <v>A</v>
      </c>
      <c r="U159" s="40" t="str">
        <f t="shared" ca="1" si="50"/>
        <v>AB</v>
      </c>
      <c r="V159" s="41" t="str">
        <f t="shared" si="51"/>
        <v>Muhamad Salman Hakim Alfarisi</v>
      </c>
      <c r="W159" s="42">
        <f t="shared" si="52"/>
        <v>13521010</v>
      </c>
      <c r="X159" s="42">
        <f t="shared" si="53"/>
        <v>9</v>
      </c>
      <c r="Y159" s="12"/>
      <c r="Z159" s="2"/>
    </row>
    <row r="160" spans="1:26" ht="15" x14ac:dyDescent="0.25">
      <c r="A160" s="30">
        <v>10</v>
      </c>
      <c r="B160" s="30">
        <v>13521011</v>
      </c>
      <c r="C160" s="31" t="s">
        <v>109</v>
      </c>
      <c r="D160" s="32" t="s">
        <v>9</v>
      </c>
      <c r="E160" s="33">
        <f ca="1">VLOOKUP($B160, Rekap_Tugas!$A$3:$I$161, 4, FALSE)</f>
        <v>97.5</v>
      </c>
      <c r="F160" s="33">
        <f ca="1">VLOOKUP($B160, Rekap_Tugas!$A$3:$I$161, 5, FALSE)</f>
        <v>113</v>
      </c>
      <c r="G160" s="33">
        <f ca="1">VLOOKUP($B160, Rekap_Tugas!$A$3:$I$161, 6, FALSE)</f>
        <v>105</v>
      </c>
      <c r="H160" s="34">
        <f t="shared" ca="1" si="46"/>
        <v>105.16666666666667</v>
      </c>
      <c r="I160" s="33">
        <f ca="1">VLOOKUP($B160, Rekap_Tugas!$A$3:$I$161, 7, FALSE)</f>
        <v>98</v>
      </c>
      <c r="J160" s="33">
        <f ca="1">VLOOKUP($B160, Rekap_Tugas!$A$3:$I$161, 8, FALSE)</f>
        <v>95</v>
      </c>
      <c r="K160" s="33">
        <f ca="1">VLOOKUP($B160, Rekap_Tugas!$A$3:$I$161, 9, FALSE)</f>
        <v>85.5</v>
      </c>
      <c r="L160" s="35">
        <f t="shared" ca="1" si="47"/>
        <v>92.833333333333329</v>
      </c>
      <c r="M160" s="36">
        <f>VLOOKUP(B160,UTS!$B$5:$M$163,12,FALSE)</f>
        <v>82</v>
      </c>
      <c r="N160" s="37">
        <f>VLOOKUP(B160,UAS!$B$5:$L$163,11,FALSE)</f>
        <v>88.5</v>
      </c>
      <c r="O160" s="38" t="s">
        <v>15</v>
      </c>
      <c r="P160" s="39">
        <v>75</v>
      </c>
      <c r="Q160" s="30">
        <v>27</v>
      </c>
      <c r="R160" s="36">
        <f t="shared" si="48"/>
        <v>100</v>
      </c>
      <c r="S160" s="35">
        <f t="shared" ca="1" si="49"/>
        <v>89.231250000000003</v>
      </c>
      <c r="T160" s="24" t="str">
        <f>VLOOKUP(B160,UAS!$B$5:$M$163,12,FALSE)</f>
        <v>A</v>
      </c>
      <c r="U160" s="40" t="str">
        <f t="shared" ca="1" si="50"/>
        <v>A</v>
      </c>
      <c r="V160" s="41" t="str">
        <f t="shared" si="51"/>
        <v>Afnan Edsa Ramadhan</v>
      </c>
      <c r="W160" s="42">
        <f t="shared" si="52"/>
        <v>13521011</v>
      </c>
      <c r="X160" s="42">
        <f t="shared" si="53"/>
        <v>10</v>
      </c>
      <c r="Y160" s="12"/>
      <c r="Z160" s="2"/>
    </row>
    <row r="161" spans="1:26" ht="15" x14ac:dyDescent="0.25">
      <c r="A161" s="30">
        <v>11</v>
      </c>
      <c r="B161" s="30">
        <v>13521012</v>
      </c>
      <c r="C161" s="31" t="s">
        <v>158</v>
      </c>
      <c r="D161" s="32" t="s">
        <v>9</v>
      </c>
      <c r="E161" s="33">
        <f ca="1">VLOOKUP($B161, Rekap_Tugas!$A$3:$I$161, 4, FALSE)</f>
        <v>83</v>
      </c>
      <c r="F161" s="33">
        <f ca="1">VLOOKUP($B161, Rekap_Tugas!$A$3:$I$161, 5, FALSE)</f>
        <v>114</v>
      </c>
      <c r="G161" s="33">
        <f ca="1">VLOOKUP($B161, Rekap_Tugas!$A$3:$I$161, 6, FALSE)</f>
        <v>102</v>
      </c>
      <c r="H161" s="34">
        <f t="shared" ca="1" si="46"/>
        <v>99.666666666666671</v>
      </c>
      <c r="I161" s="33">
        <f ca="1">VLOOKUP($B161, Rekap_Tugas!$A$3:$I$161, 7, FALSE)</f>
        <v>101</v>
      </c>
      <c r="J161" s="33">
        <f ca="1">VLOOKUP($B161, Rekap_Tugas!$A$3:$I$161, 8, FALSE)</f>
        <v>99</v>
      </c>
      <c r="K161" s="33">
        <f ca="1">VLOOKUP($B161, Rekap_Tugas!$A$3:$I$161, 9, FALSE)</f>
        <v>105</v>
      </c>
      <c r="L161" s="35">
        <f t="shared" ca="1" si="47"/>
        <v>101.66666666666667</v>
      </c>
      <c r="M161" s="36">
        <f>VLOOKUP(B161,UTS!$B$5:$M$163,12,FALSE)</f>
        <v>68</v>
      </c>
      <c r="N161" s="37">
        <f>VLOOKUP(B161,UAS!$B$5:$L$163,11,FALSE)</f>
        <v>79</v>
      </c>
      <c r="O161" s="38" t="s">
        <v>15</v>
      </c>
      <c r="P161" s="39">
        <v>75</v>
      </c>
      <c r="Q161" s="30">
        <v>27</v>
      </c>
      <c r="R161" s="36">
        <f t="shared" si="48"/>
        <v>100</v>
      </c>
      <c r="S161" s="35">
        <f t="shared" ca="1" si="49"/>
        <v>82.387500000000003</v>
      </c>
      <c r="T161" s="24" t="str">
        <f>VLOOKUP(B161,UAS!$B$5:$M$163,12,FALSE)</f>
        <v>AB/B</v>
      </c>
      <c r="U161" s="40" t="str">
        <f t="shared" ca="1" si="50"/>
        <v>AB</v>
      </c>
      <c r="V161" s="41" t="str">
        <f t="shared" si="51"/>
        <v>Haikal Ardzi Shofiyyurrohman</v>
      </c>
      <c r="W161" s="42">
        <f t="shared" si="52"/>
        <v>13521012</v>
      </c>
      <c r="X161" s="42">
        <f t="shared" si="53"/>
        <v>11</v>
      </c>
      <c r="Y161" s="12"/>
      <c r="Z161" s="2"/>
    </row>
    <row r="162" spans="1:26" ht="15" x14ac:dyDescent="0.25">
      <c r="A162" s="30">
        <v>12</v>
      </c>
      <c r="B162" s="30">
        <v>13521013</v>
      </c>
      <c r="C162" s="31" t="s">
        <v>179</v>
      </c>
      <c r="D162" s="32" t="s">
        <v>9</v>
      </c>
      <c r="E162" s="33">
        <f ca="1">VLOOKUP($B162, Rekap_Tugas!$A$3:$I$161, 4, FALSE)</f>
        <v>92</v>
      </c>
      <c r="F162" s="33">
        <f ca="1">VLOOKUP($B162, Rekap_Tugas!$A$3:$I$161, 5, FALSE)</f>
        <v>97</v>
      </c>
      <c r="G162" s="33">
        <f ca="1">VLOOKUP($B162, Rekap_Tugas!$A$3:$I$161, 6, FALSE)</f>
        <v>104</v>
      </c>
      <c r="H162" s="34">
        <f t="shared" ca="1" si="46"/>
        <v>97.666666666666671</v>
      </c>
      <c r="I162" s="33">
        <f ca="1">VLOOKUP($B162, Rekap_Tugas!$A$3:$I$161, 7, FALSE)</f>
        <v>101</v>
      </c>
      <c r="J162" s="33">
        <f ca="1">VLOOKUP($B162, Rekap_Tugas!$A$3:$I$161, 8, FALSE)</f>
        <v>98</v>
      </c>
      <c r="K162" s="33">
        <f ca="1">VLOOKUP($B162, Rekap_Tugas!$A$3:$I$161, 9, FALSE)</f>
        <v>70</v>
      </c>
      <c r="L162" s="35">
        <f t="shared" ca="1" si="47"/>
        <v>89.666666666666671</v>
      </c>
      <c r="M162" s="36">
        <f>VLOOKUP(B162,UTS!$B$5:$M$163,12,FALSE)</f>
        <v>69</v>
      </c>
      <c r="N162" s="37">
        <f>VLOOKUP(B162,UAS!$B$5:$L$163,11,FALSE)</f>
        <v>69</v>
      </c>
      <c r="O162" s="38" t="s">
        <v>59</v>
      </c>
      <c r="P162" s="39">
        <v>80</v>
      </c>
      <c r="Q162" s="30">
        <v>27</v>
      </c>
      <c r="R162" s="36">
        <f t="shared" si="48"/>
        <v>100</v>
      </c>
      <c r="S162" s="35">
        <f t="shared" ca="1" si="49"/>
        <v>77.724999999999994</v>
      </c>
      <c r="T162" s="24" t="str">
        <f>VLOOKUP(B162,UAS!$B$5:$M$163,12,FALSE)</f>
        <v>AB</v>
      </c>
      <c r="U162" s="40" t="str">
        <f t="shared" ca="1" si="50"/>
        <v>AB</v>
      </c>
      <c r="V162" s="41" t="str">
        <f t="shared" si="51"/>
        <v>Eunice Sarah Siregar</v>
      </c>
      <c r="W162" s="42">
        <f t="shared" si="52"/>
        <v>13521013</v>
      </c>
      <c r="X162" s="42">
        <f t="shared" si="53"/>
        <v>12</v>
      </c>
      <c r="Y162" s="12"/>
      <c r="Z162" s="2"/>
    </row>
    <row r="163" spans="1:26" ht="15" x14ac:dyDescent="0.25">
      <c r="A163" s="30">
        <v>13</v>
      </c>
      <c r="B163" s="30">
        <v>13521014</v>
      </c>
      <c r="C163" s="31" t="s">
        <v>121</v>
      </c>
      <c r="D163" s="32" t="s">
        <v>9</v>
      </c>
      <c r="E163" s="33">
        <f ca="1">VLOOKUP($B163, Rekap_Tugas!$A$3:$I$161, 4, FALSE)</f>
        <v>91.5</v>
      </c>
      <c r="F163" s="33">
        <f ca="1">VLOOKUP($B163, Rekap_Tugas!$A$3:$I$161, 5, FALSE)</f>
        <v>112</v>
      </c>
      <c r="G163" s="33">
        <f ca="1">VLOOKUP($B163, Rekap_Tugas!$A$3:$I$161, 6, FALSE)</f>
        <v>96</v>
      </c>
      <c r="H163" s="34">
        <f t="shared" ca="1" si="46"/>
        <v>99.833333333333329</v>
      </c>
      <c r="I163" s="33">
        <f ca="1">VLOOKUP($B163, Rekap_Tugas!$A$3:$I$161, 7, FALSE)</f>
        <v>102</v>
      </c>
      <c r="J163" s="33">
        <f ca="1">VLOOKUP($B163, Rekap_Tugas!$A$3:$I$161, 8, FALSE)</f>
        <v>98</v>
      </c>
      <c r="K163" s="33">
        <f ca="1">VLOOKUP($B163, Rekap_Tugas!$A$3:$I$161, 9, FALSE)</f>
        <v>91</v>
      </c>
      <c r="L163" s="35">
        <f t="shared" ca="1" si="47"/>
        <v>97</v>
      </c>
      <c r="M163" s="36">
        <f>VLOOKUP(B163,UTS!$B$5:$M$163,12,FALSE)</f>
        <v>81</v>
      </c>
      <c r="N163" s="37">
        <f>VLOOKUP(B163,UAS!$B$5:$L$163,11,FALSE)</f>
        <v>85.5</v>
      </c>
      <c r="O163" s="38" t="s">
        <v>15</v>
      </c>
      <c r="P163" s="39">
        <v>70</v>
      </c>
      <c r="Q163" s="30">
        <v>27</v>
      </c>
      <c r="R163" s="36">
        <f t="shared" si="48"/>
        <v>100</v>
      </c>
      <c r="S163" s="35">
        <f t="shared" ca="1" si="49"/>
        <v>87.556250000000006</v>
      </c>
      <c r="T163" s="24" t="str">
        <f>VLOOKUP(B163,UAS!$B$5:$M$163,12,FALSE)</f>
        <v>A</v>
      </c>
      <c r="U163" s="40" t="str">
        <f t="shared" ca="1" si="50"/>
        <v>A</v>
      </c>
      <c r="V163" s="41" t="str">
        <f t="shared" si="51"/>
        <v>Muhhamad Syauqi Jannatan</v>
      </c>
      <c r="W163" s="42">
        <f t="shared" si="52"/>
        <v>13521014</v>
      </c>
      <c r="X163" s="42">
        <f t="shared" si="53"/>
        <v>13</v>
      </c>
      <c r="Y163" s="12"/>
      <c r="Z163" s="2"/>
    </row>
    <row r="164" spans="1:26" ht="15" x14ac:dyDescent="0.25">
      <c r="A164" s="30">
        <v>14</v>
      </c>
      <c r="B164" s="30">
        <v>13521015</v>
      </c>
      <c r="C164" s="31" t="s">
        <v>134</v>
      </c>
      <c r="D164" s="32" t="s">
        <v>9</v>
      </c>
      <c r="E164" s="33">
        <f ca="1">VLOOKUP($B164, Rekap_Tugas!$A$3:$I$161, 4, FALSE)</f>
        <v>97.5</v>
      </c>
      <c r="F164" s="33">
        <f ca="1">VLOOKUP($B164, Rekap_Tugas!$A$3:$I$161, 5, FALSE)</f>
        <v>115</v>
      </c>
      <c r="G164" s="33">
        <f ca="1">VLOOKUP($B164, Rekap_Tugas!$A$3:$I$161, 6, FALSE)</f>
        <v>105</v>
      </c>
      <c r="H164" s="34">
        <f t="shared" ca="1" si="46"/>
        <v>105.83333333333333</v>
      </c>
      <c r="I164" s="33">
        <f ca="1">VLOOKUP($B164, Rekap_Tugas!$A$3:$I$161, 7, FALSE)</f>
        <v>106</v>
      </c>
      <c r="J164" s="33">
        <f ca="1">VLOOKUP($B164, Rekap_Tugas!$A$3:$I$161, 8, FALSE)</f>
        <v>105</v>
      </c>
      <c r="K164" s="33">
        <f ca="1">VLOOKUP($B164, Rekap_Tugas!$A$3:$I$161, 9, FALSE)</f>
        <v>105</v>
      </c>
      <c r="L164" s="35">
        <f t="shared" ca="1" si="47"/>
        <v>105.33333333333333</v>
      </c>
      <c r="M164" s="36">
        <f>VLOOKUP(B164,UTS!$B$5:$M$163,12,FALSE)</f>
        <v>73</v>
      </c>
      <c r="N164" s="37">
        <f>VLOOKUP(B164,UAS!$B$5:$L$163,11,FALSE)</f>
        <v>78.5</v>
      </c>
      <c r="O164" s="38" t="s">
        <v>44</v>
      </c>
      <c r="P164" s="39">
        <v>90</v>
      </c>
      <c r="Q164" s="30">
        <v>27</v>
      </c>
      <c r="R164" s="36">
        <f t="shared" si="48"/>
        <v>100</v>
      </c>
      <c r="S164" s="35">
        <f t="shared" ca="1" si="49"/>
        <v>86.018749999999997</v>
      </c>
      <c r="T164" s="24" t="str">
        <f>VLOOKUP(B164,UAS!$B$5:$M$163,12,FALSE)</f>
        <v>A</v>
      </c>
      <c r="U164" s="40" t="str">
        <f t="shared" ca="1" si="50"/>
        <v>A</v>
      </c>
      <c r="V164" s="41" t="str">
        <f t="shared" si="51"/>
        <v>Hidayatullah Wildan Ghaly B.</v>
      </c>
      <c r="W164" s="42">
        <f t="shared" si="52"/>
        <v>13521015</v>
      </c>
      <c r="X164" s="42">
        <f t="shared" si="53"/>
        <v>14</v>
      </c>
      <c r="Y164" s="12"/>
      <c r="Z164" s="2"/>
    </row>
    <row r="165" spans="1:26" ht="15" x14ac:dyDescent="0.25">
      <c r="A165" s="30">
        <v>15</v>
      </c>
      <c r="B165" s="30">
        <v>13521016</v>
      </c>
      <c r="C165" s="31" t="s">
        <v>182</v>
      </c>
      <c r="D165" s="32" t="s">
        <v>9</v>
      </c>
      <c r="E165" s="33">
        <f ca="1">VLOOKUP($B165, Rekap_Tugas!$A$3:$I$161, 4, FALSE)</f>
        <v>94.5</v>
      </c>
      <c r="F165" s="33">
        <f ca="1">VLOOKUP($B165, Rekap_Tugas!$A$3:$I$161, 5, FALSE)</f>
        <v>109</v>
      </c>
      <c r="G165" s="33">
        <f ca="1">VLOOKUP($B165, Rekap_Tugas!$A$3:$I$161, 6, FALSE)</f>
        <v>101</v>
      </c>
      <c r="H165" s="34">
        <f t="shared" ca="1" si="46"/>
        <v>101.5</v>
      </c>
      <c r="I165" s="33">
        <f ca="1">VLOOKUP($B165, Rekap_Tugas!$A$3:$I$161, 7, FALSE)</f>
        <v>102</v>
      </c>
      <c r="J165" s="33">
        <f ca="1">VLOOKUP($B165, Rekap_Tugas!$A$3:$I$161, 8, FALSE)</f>
        <v>82</v>
      </c>
      <c r="K165" s="33">
        <f ca="1">VLOOKUP($B165, Rekap_Tugas!$A$3:$I$161, 9, FALSE)</f>
        <v>85.5</v>
      </c>
      <c r="L165" s="35">
        <f t="shared" ca="1" si="47"/>
        <v>89.833333333333329</v>
      </c>
      <c r="M165" s="36">
        <f>VLOOKUP(B165,UTS!$B$5:$M$163,12,FALSE)</f>
        <v>65</v>
      </c>
      <c r="N165" s="37">
        <f>VLOOKUP(B165,UAS!$B$5:$L$163,11,FALSE)</f>
        <v>68.5</v>
      </c>
      <c r="O165" s="38" t="s">
        <v>18</v>
      </c>
      <c r="P165" s="39">
        <v>85</v>
      </c>
      <c r="Q165" s="30">
        <v>26</v>
      </c>
      <c r="R165" s="36">
        <f t="shared" si="48"/>
        <v>96.296296296296291</v>
      </c>
      <c r="S165" s="35">
        <f t="shared" ca="1" si="49"/>
        <v>77.076157407407408</v>
      </c>
      <c r="T165" s="24" t="str">
        <f>VLOOKUP(B165,UAS!$B$5:$M$163,12,FALSE)</f>
        <v>A</v>
      </c>
      <c r="U165" s="40" t="str">
        <f t="shared" ca="1" si="50"/>
        <v>AB</v>
      </c>
      <c r="V165" s="41" t="str">
        <f t="shared" si="51"/>
        <v>Laila Bilbina Khoiru Nisa</v>
      </c>
      <c r="W165" s="42">
        <f t="shared" si="52"/>
        <v>13521016</v>
      </c>
      <c r="X165" s="42">
        <f t="shared" si="53"/>
        <v>15</v>
      </c>
      <c r="Y165" s="12"/>
      <c r="Z165" s="2"/>
    </row>
    <row r="166" spans="1:26" ht="15" x14ac:dyDescent="0.25">
      <c r="A166" s="30">
        <v>16</v>
      </c>
      <c r="B166" s="30">
        <v>13521018</v>
      </c>
      <c r="C166" s="31" t="s">
        <v>87</v>
      </c>
      <c r="D166" s="32" t="s">
        <v>9</v>
      </c>
      <c r="E166" s="33">
        <f ca="1">VLOOKUP($B166, Rekap_Tugas!$A$3:$I$161, 4, FALSE)</f>
        <v>94</v>
      </c>
      <c r="F166" s="33">
        <f ca="1">VLOOKUP($B166, Rekap_Tugas!$A$3:$I$161, 5, FALSE)</f>
        <v>113</v>
      </c>
      <c r="G166" s="33">
        <f ca="1">VLOOKUP($B166, Rekap_Tugas!$A$3:$I$161, 6, FALSE)</f>
        <v>104</v>
      </c>
      <c r="H166" s="34">
        <f t="shared" ca="1" si="46"/>
        <v>103.66666666666667</v>
      </c>
      <c r="I166" s="33">
        <f ca="1">VLOOKUP($B166, Rekap_Tugas!$A$3:$I$161, 7, FALSE)</f>
        <v>103</v>
      </c>
      <c r="J166" s="33">
        <f ca="1">VLOOKUP($B166, Rekap_Tugas!$A$3:$I$161, 8, FALSE)</f>
        <v>96.5</v>
      </c>
      <c r="K166" s="33">
        <f ca="1">VLOOKUP($B166, Rekap_Tugas!$A$3:$I$161, 9, FALSE)</f>
        <v>85.5</v>
      </c>
      <c r="L166" s="35">
        <f t="shared" ca="1" si="47"/>
        <v>95</v>
      </c>
      <c r="M166" s="36">
        <f>VLOOKUP(B166,UTS!$B$5:$M$163,12,FALSE)</f>
        <v>83</v>
      </c>
      <c r="N166" s="37">
        <f>VLOOKUP(B166,UAS!$B$5:$L$163,11,FALSE)</f>
        <v>94.5</v>
      </c>
      <c r="O166" s="38" t="s">
        <v>18</v>
      </c>
      <c r="P166" s="39">
        <v>85</v>
      </c>
      <c r="Q166" s="30">
        <v>27</v>
      </c>
      <c r="R166" s="36">
        <f t="shared" si="48"/>
        <v>100</v>
      </c>
      <c r="S166" s="35">
        <f t="shared" ca="1" si="49"/>
        <v>92.018749999999997</v>
      </c>
      <c r="T166" s="24" t="str">
        <f>VLOOKUP(B166,UAS!$B$5:$M$163,12,FALSE)</f>
        <v>A</v>
      </c>
      <c r="U166" s="40" t="str">
        <f t="shared" ca="1" si="50"/>
        <v>A</v>
      </c>
      <c r="V166" s="41" t="str">
        <f t="shared" si="51"/>
        <v>Syarifa Dwi Purnamasari</v>
      </c>
      <c r="W166" s="42">
        <f t="shared" si="52"/>
        <v>13521018</v>
      </c>
      <c r="X166" s="42">
        <f t="shared" si="53"/>
        <v>16</v>
      </c>
      <c r="Y166" s="12"/>
      <c r="Z166" s="2"/>
    </row>
    <row r="167" spans="1:26" ht="15" x14ac:dyDescent="0.25">
      <c r="A167" s="30">
        <v>17</v>
      </c>
      <c r="B167" s="30">
        <v>13521019</v>
      </c>
      <c r="C167" s="31" t="s">
        <v>120</v>
      </c>
      <c r="D167" s="32" t="s">
        <v>9</v>
      </c>
      <c r="E167" s="33">
        <f ca="1">VLOOKUP($B167, Rekap_Tugas!$A$3:$I$161, 4, FALSE)</f>
        <v>91.5</v>
      </c>
      <c r="F167" s="33">
        <f ca="1">VLOOKUP($B167, Rekap_Tugas!$A$3:$I$161, 5, FALSE)</f>
        <v>112</v>
      </c>
      <c r="G167" s="33">
        <f ca="1">VLOOKUP($B167, Rekap_Tugas!$A$3:$I$161, 6, FALSE)</f>
        <v>105</v>
      </c>
      <c r="H167" s="34">
        <f t="shared" ca="1" si="46"/>
        <v>102.83333333333333</v>
      </c>
      <c r="I167" s="33">
        <f ca="1">VLOOKUP($B167, Rekap_Tugas!$A$3:$I$161, 7, FALSE)</f>
        <v>104</v>
      </c>
      <c r="J167" s="33">
        <f ca="1">VLOOKUP($B167, Rekap_Tugas!$A$3:$I$161, 8, FALSE)</f>
        <v>99</v>
      </c>
      <c r="K167" s="33">
        <f ca="1">VLOOKUP($B167, Rekap_Tugas!$A$3:$I$161, 9, FALSE)</f>
        <v>102.5</v>
      </c>
      <c r="L167" s="35">
        <f t="shared" ca="1" si="47"/>
        <v>101.83333333333333</v>
      </c>
      <c r="M167" s="36">
        <f>VLOOKUP(B167,UTS!$B$5:$M$163,12,FALSE)</f>
        <v>82</v>
      </c>
      <c r="N167" s="37">
        <f>VLOOKUP(B167,UAS!$B$5:$L$163,11,FALSE)</f>
        <v>81</v>
      </c>
      <c r="O167" s="38" t="s">
        <v>15</v>
      </c>
      <c r="P167" s="39">
        <v>75</v>
      </c>
      <c r="Q167" s="30">
        <v>24</v>
      </c>
      <c r="R167" s="36">
        <f t="shared" si="48"/>
        <v>88.888888888888886</v>
      </c>
      <c r="S167" s="35">
        <f t="shared" ca="1" si="49"/>
        <v>87.609722222222217</v>
      </c>
      <c r="T167" s="24" t="str">
        <f>VLOOKUP(B167,UAS!$B$5:$M$163,12,FALSE)</f>
        <v>AB</v>
      </c>
      <c r="U167" s="40" t="str">
        <f t="shared" ca="1" si="50"/>
        <v>A</v>
      </c>
      <c r="V167" s="41" t="str">
        <f t="shared" si="51"/>
        <v>Ditra Rizqa Amadia</v>
      </c>
      <c r="W167" s="42">
        <f t="shared" si="52"/>
        <v>13521019</v>
      </c>
      <c r="X167" s="42">
        <f t="shared" si="53"/>
        <v>17</v>
      </c>
      <c r="Y167" s="12"/>
      <c r="Z167" s="2"/>
    </row>
    <row r="168" spans="1:26" ht="15" x14ac:dyDescent="0.25">
      <c r="A168" s="30">
        <v>18</v>
      </c>
      <c r="B168" s="30">
        <v>13521020</v>
      </c>
      <c r="C168" s="31" t="s">
        <v>198</v>
      </c>
      <c r="D168" s="32" t="s">
        <v>9</v>
      </c>
      <c r="E168" s="33">
        <f ca="1">VLOOKUP($B168, Rekap_Tugas!$A$3:$I$161, 4, FALSE)</f>
        <v>63</v>
      </c>
      <c r="F168" s="33">
        <f ca="1">VLOOKUP($B168, Rekap_Tugas!$A$3:$I$161, 5, FALSE)</f>
        <v>104</v>
      </c>
      <c r="G168" s="33">
        <f ca="1">VLOOKUP($B168, Rekap_Tugas!$A$3:$I$161, 6, FALSE)</f>
        <v>46</v>
      </c>
      <c r="H168" s="34">
        <f t="shared" ca="1" si="46"/>
        <v>71</v>
      </c>
      <c r="I168" s="33">
        <f ca="1">VLOOKUP($B168, Rekap_Tugas!$A$3:$I$161, 7, FALSE)</f>
        <v>102</v>
      </c>
      <c r="J168" s="33">
        <f ca="1">VLOOKUP($B168, Rekap_Tugas!$A$3:$I$161, 8, FALSE)</f>
        <v>83</v>
      </c>
      <c r="K168" s="33">
        <f ca="1">VLOOKUP($B168, Rekap_Tugas!$A$3:$I$161, 9, FALSE)</f>
        <v>30</v>
      </c>
      <c r="L168" s="35">
        <f t="shared" ca="1" si="47"/>
        <v>71.666666666666671</v>
      </c>
      <c r="M168" s="36">
        <f>VLOOKUP(B168,UTS!$B$5:$M$163,12,FALSE)</f>
        <v>63.5</v>
      </c>
      <c r="N168" s="37">
        <f>VLOOKUP(B168,UAS!$B$5:$L$163,11,FALSE)</f>
        <v>77.5</v>
      </c>
      <c r="O168" s="38" t="s">
        <v>15</v>
      </c>
      <c r="P168" s="39">
        <v>75</v>
      </c>
      <c r="Q168" s="30">
        <v>27</v>
      </c>
      <c r="R168" s="36">
        <f t="shared" si="48"/>
        <v>100</v>
      </c>
      <c r="S168" s="35">
        <f t="shared" ca="1" si="49"/>
        <v>71.712500000000006</v>
      </c>
      <c r="T168" s="24" t="str">
        <f>VLOOKUP(B168,UAS!$B$5:$M$163,12,FALSE)</f>
        <v>C</v>
      </c>
      <c r="U168" s="40" t="str">
        <f t="shared" ca="1" si="50"/>
        <v>B</v>
      </c>
      <c r="V168" s="41" t="str">
        <f t="shared" si="51"/>
        <v>Varraz Hazzandra Abrar</v>
      </c>
      <c r="W168" s="42">
        <f t="shared" si="52"/>
        <v>13521020</v>
      </c>
      <c r="X168" s="42">
        <f t="shared" si="53"/>
        <v>18</v>
      </c>
      <c r="Y168" s="12"/>
      <c r="Z168" s="2"/>
    </row>
    <row r="169" spans="1:26" ht="15" x14ac:dyDescent="0.25">
      <c r="A169" s="30">
        <v>19</v>
      </c>
      <c r="B169" s="30">
        <v>13521021</v>
      </c>
      <c r="C169" s="31" t="s">
        <v>72</v>
      </c>
      <c r="D169" s="32" t="s">
        <v>9</v>
      </c>
      <c r="E169" s="33">
        <f ca="1">VLOOKUP($B169, Rekap_Tugas!$A$3:$I$161, 4, FALSE)</f>
        <v>97.5</v>
      </c>
      <c r="F169" s="33">
        <f ca="1">VLOOKUP($B169, Rekap_Tugas!$A$3:$I$161, 5, FALSE)</f>
        <v>115</v>
      </c>
      <c r="G169" s="33">
        <f ca="1">VLOOKUP($B169, Rekap_Tugas!$A$3:$I$161, 6, FALSE)</f>
        <v>103</v>
      </c>
      <c r="H169" s="34">
        <f t="shared" ca="1" si="46"/>
        <v>105.16666666666667</v>
      </c>
      <c r="I169" s="33">
        <f ca="1">VLOOKUP($B169, Rekap_Tugas!$A$3:$I$161, 7, FALSE)</f>
        <v>104</v>
      </c>
      <c r="J169" s="33">
        <f ca="1">VLOOKUP($B169, Rekap_Tugas!$A$3:$I$161, 8, FALSE)</f>
        <v>112</v>
      </c>
      <c r="K169" s="33">
        <f ca="1">VLOOKUP($B169, Rekap_Tugas!$A$3:$I$161, 9, FALSE)</f>
        <v>102.5</v>
      </c>
      <c r="L169" s="35">
        <f t="shared" ca="1" si="47"/>
        <v>106.16666666666667</v>
      </c>
      <c r="M169" s="36">
        <f>VLOOKUP(B169,UTS!$B$5:$M$163,12,FALSE)</f>
        <v>85</v>
      </c>
      <c r="N169" s="37">
        <f>VLOOKUP(B169,UAS!$B$5:$L$163,11,FALSE)</f>
        <v>91</v>
      </c>
      <c r="O169" s="38" t="s">
        <v>44</v>
      </c>
      <c r="P169" s="39">
        <v>90</v>
      </c>
      <c r="Q169" s="30">
        <v>27</v>
      </c>
      <c r="R169" s="36">
        <f t="shared" si="48"/>
        <v>100</v>
      </c>
      <c r="S169" s="35">
        <f t="shared" ca="1" si="49"/>
        <v>93.7</v>
      </c>
      <c r="T169" s="24" t="str">
        <f>VLOOKUP(B169,UAS!$B$5:$M$163,12,FALSE)</f>
        <v>A</v>
      </c>
      <c r="U169" s="40" t="str">
        <f t="shared" ca="1" si="50"/>
        <v>A</v>
      </c>
      <c r="V169" s="41" t="str">
        <f t="shared" si="51"/>
        <v>Bernardus Willson</v>
      </c>
      <c r="W169" s="42">
        <f t="shared" si="52"/>
        <v>13521021</v>
      </c>
      <c r="X169" s="42">
        <f t="shared" si="53"/>
        <v>19</v>
      </c>
      <c r="Y169" s="12"/>
      <c r="Z169" s="2"/>
    </row>
    <row r="170" spans="1:26" ht="15" x14ac:dyDescent="0.25">
      <c r="A170" s="30">
        <v>20</v>
      </c>
      <c r="B170" s="30">
        <v>13521022</v>
      </c>
      <c r="C170" s="31" t="s">
        <v>122</v>
      </c>
      <c r="D170" s="32" t="s">
        <v>9</v>
      </c>
      <c r="E170" s="33">
        <f ca="1">VLOOKUP($B170, Rekap_Tugas!$A$3:$I$161, 4, FALSE)</f>
        <v>82</v>
      </c>
      <c r="F170" s="33">
        <f ca="1">VLOOKUP($B170, Rekap_Tugas!$A$3:$I$161, 5, FALSE)</f>
        <v>109</v>
      </c>
      <c r="G170" s="33">
        <f ca="1">VLOOKUP($B170, Rekap_Tugas!$A$3:$I$161, 6, FALSE)</f>
        <v>103</v>
      </c>
      <c r="H170" s="34">
        <f t="shared" ca="1" si="46"/>
        <v>98</v>
      </c>
      <c r="I170" s="33">
        <f ca="1">VLOOKUP($B170, Rekap_Tugas!$A$3:$I$161, 7, FALSE)</f>
        <v>106</v>
      </c>
      <c r="J170" s="33">
        <f ca="1">VLOOKUP($B170, Rekap_Tugas!$A$3:$I$161, 8, FALSE)</f>
        <v>111</v>
      </c>
      <c r="K170" s="33">
        <f ca="1">VLOOKUP($B170, Rekap_Tugas!$A$3:$I$161, 9, FALSE)</f>
        <v>102.5</v>
      </c>
      <c r="L170" s="35">
        <f t="shared" ca="1" si="47"/>
        <v>106.5</v>
      </c>
      <c r="M170" s="36">
        <f>VLOOKUP(B170,UTS!$B$5:$M$163,12,FALSE)</f>
        <v>79</v>
      </c>
      <c r="N170" s="37">
        <f>VLOOKUP(B170,UAS!$B$5:$L$163,11,FALSE)</f>
        <v>83</v>
      </c>
      <c r="O170" s="38" t="s">
        <v>15</v>
      </c>
      <c r="P170" s="39">
        <v>75</v>
      </c>
      <c r="Q170" s="30">
        <v>27</v>
      </c>
      <c r="R170" s="36">
        <f t="shared" si="48"/>
        <v>100</v>
      </c>
      <c r="S170" s="35">
        <f t="shared" ca="1" si="49"/>
        <v>87.55</v>
      </c>
      <c r="T170" s="24" t="str">
        <f>VLOOKUP(B170,UAS!$B$5:$M$163,12,FALSE)</f>
        <v>A</v>
      </c>
      <c r="U170" s="40" t="str">
        <f t="shared" ca="1" si="50"/>
        <v>A</v>
      </c>
      <c r="V170" s="41" t="str">
        <f t="shared" si="51"/>
        <v>Raditya Naufal Abiyu</v>
      </c>
      <c r="W170" s="42">
        <f t="shared" si="52"/>
        <v>13521022</v>
      </c>
      <c r="X170" s="42">
        <f t="shared" si="53"/>
        <v>20</v>
      </c>
      <c r="Y170" s="12"/>
      <c r="Z170" s="2"/>
    </row>
    <row r="171" spans="1:26" ht="15" x14ac:dyDescent="0.25">
      <c r="A171" s="30">
        <v>21</v>
      </c>
      <c r="B171" s="30">
        <v>13521023</v>
      </c>
      <c r="C171" s="31" t="s">
        <v>161</v>
      </c>
      <c r="D171" s="32" t="s">
        <v>9</v>
      </c>
      <c r="E171" s="33">
        <f ca="1">VLOOKUP($B171, Rekap_Tugas!$A$3:$I$161, 4, FALSE)</f>
        <v>97.5</v>
      </c>
      <c r="F171" s="33">
        <f ca="1">VLOOKUP($B171, Rekap_Tugas!$A$3:$I$161, 5, FALSE)</f>
        <v>113</v>
      </c>
      <c r="G171" s="33">
        <f ca="1">VLOOKUP($B171, Rekap_Tugas!$A$3:$I$161, 6, FALSE)</f>
        <v>104</v>
      </c>
      <c r="H171" s="34">
        <f t="shared" ca="1" si="46"/>
        <v>104.83333333333333</v>
      </c>
      <c r="I171" s="33">
        <f ca="1">VLOOKUP($B171, Rekap_Tugas!$A$3:$I$161, 7, FALSE)</f>
        <v>105</v>
      </c>
      <c r="J171" s="33">
        <f ca="1">VLOOKUP($B171, Rekap_Tugas!$A$3:$I$161, 8, FALSE)</f>
        <v>112</v>
      </c>
      <c r="K171" s="33">
        <f ca="1">VLOOKUP($B171, Rekap_Tugas!$A$3:$I$161, 9, FALSE)</f>
        <v>70</v>
      </c>
      <c r="L171" s="35">
        <f t="shared" ca="1" si="47"/>
        <v>95.666666666666671</v>
      </c>
      <c r="M171" s="36">
        <f>VLOOKUP(B171,UTS!$B$5:$M$163,12,FALSE)</f>
        <v>73</v>
      </c>
      <c r="N171" s="37">
        <f>VLOOKUP(B171,UAS!$B$5:$L$163,11,FALSE)</f>
        <v>74.5</v>
      </c>
      <c r="O171" s="38" t="s">
        <v>15</v>
      </c>
      <c r="P171" s="39">
        <v>75</v>
      </c>
      <c r="Q171" s="30">
        <v>26</v>
      </c>
      <c r="R171" s="36">
        <f t="shared" si="48"/>
        <v>96.296296296296291</v>
      </c>
      <c r="S171" s="53">
        <f t="shared" ca="1" si="49"/>
        <v>82.326157407407393</v>
      </c>
      <c r="T171" s="24" t="str">
        <f>VLOOKUP(B171,UAS!$B$5:$M$163,12,FALSE)</f>
        <v>B</v>
      </c>
      <c r="U171" s="40" t="str">
        <f t="shared" ca="1" si="50"/>
        <v>AB</v>
      </c>
      <c r="V171" s="41" t="str">
        <f t="shared" si="51"/>
        <v>Kenny Benaya Nathan</v>
      </c>
      <c r="W171" s="42">
        <f t="shared" si="52"/>
        <v>13521023</v>
      </c>
      <c r="X171" s="42">
        <f t="shared" si="53"/>
        <v>21</v>
      </c>
      <c r="Y171" s="12"/>
      <c r="Z171" s="2"/>
    </row>
    <row r="172" spans="1:26" ht="15" x14ac:dyDescent="0.25">
      <c r="A172" s="30">
        <v>22</v>
      </c>
      <c r="B172" s="30">
        <v>13521024</v>
      </c>
      <c r="C172" s="31" t="s">
        <v>89</v>
      </c>
      <c r="D172" s="32" t="s">
        <v>9</v>
      </c>
      <c r="E172" s="33">
        <f ca="1">VLOOKUP($B172, Rekap_Tugas!$A$3:$I$161, 4, FALSE)</f>
        <v>97.5</v>
      </c>
      <c r="F172" s="33">
        <f ca="1">VLOOKUP($B172, Rekap_Tugas!$A$3:$I$161, 5, FALSE)</f>
        <v>112</v>
      </c>
      <c r="G172" s="33">
        <f ca="1">VLOOKUP($B172, Rekap_Tugas!$A$3:$I$161, 6, FALSE)</f>
        <v>103</v>
      </c>
      <c r="H172" s="34">
        <f t="shared" ca="1" si="46"/>
        <v>104.16666666666667</v>
      </c>
      <c r="I172" s="33">
        <f ca="1">VLOOKUP($B172, Rekap_Tugas!$A$3:$I$161, 7, FALSE)</f>
        <v>105</v>
      </c>
      <c r="J172" s="33">
        <f ca="1">VLOOKUP($B172, Rekap_Tugas!$A$3:$I$161, 8, FALSE)</f>
        <v>111</v>
      </c>
      <c r="K172" s="33">
        <f ca="1">VLOOKUP($B172, Rekap_Tugas!$A$3:$I$161, 9, FALSE)</f>
        <v>100.5</v>
      </c>
      <c r="L172" s="35">
        <f t="shared" ca="1" si="47"/>
        <v>105.5</v>
      </c>
      <c r="M172" s="36">
        <f>VLOOKUP(B172,UTS!$B$5:$M$163,12,FALSE)</f>
        <v>79</v>
      </c>
      <c r="N172" s="37">
        <f>VLOOKUP(B172,UAS!$B$5:$L$163,11,FALSE)</f>
        <v>91</v>
      </c>
      <c r="O172" s="38" t="s">
        <v>44</v>
      </c>
      <c r="P172" s="39">
        <v>90</v>
      </c>
      <c r="Q172" s="30">
        <v>27</v>
      </c>
      <c r="R172" s="36">
        <f t="shared" si="48"/>
        <v>100</v>
      </c>
      <c r="S172" s="35">
        <f t="shared" ca="1" si="49"/>
        <v>91.575000000000003</v>
      </c>
      <c r="T172" s="24" t="str">
        <f>VLOOKUP(B172,UAS!$B$5:$M$163,12,FALSE)</f>
        <v>A</v>
      </c>
      <c r="U172" s="40" t="str">
        <f t="shared" ca="1" si="50"/>
        <v>A</v>
      </c>
      <c r="V172" s="41" t="str">
        <f t="shared" si="51"/>
        <v>Ahmad Nadil</v>
      </c>
      <c r="W172" s="42">
        <f t="shared" si="52"/>
        <v>13521024</v>
      </c>
      <c r="X172" s="42">
        <f t="shared" si="53"/>
        <v>22</v>
      </c>
      <c r="Y172" s="12"/>
      <c r="Z172" s="2"/>
    </row>
    <row r="173" spans="1:26" ht="15" x14ac:dyDescent="0.25">
      <c r="A173" s="30">
        <v>23</v>
      </c>
      <c r="B173" s="30">
        <v>13521025</v>
      </c>
      <c r="C173" s="31" t="s">
        <v>156</v>
      </c>
      <c r="D173" s="32" t="s">
        <v>9</v>
      </c>
      <c r="E173" s="33">
        <f ca="1">VLOOKUP($B173, Rekap_Tugas!$A$3:$I$161, 4, FALSE)</f>
        <v>95.5</v>
      </c>
      <c r="F173" s="33">
        <f ca="1">VLOOKUP($B173, Rekap_Tugas!$A$3:$I$161, 5, FALSE)</f>
        <v>114</v>
      </c>
      <c r="G173" s="33">
        <f ca="1">VLOOKUP($B173, Rekap_Tugas!$A$3:$I$161, 6, FALSE)</f>
        <v>95</v>
      </c>
      <c r="H173" s="34">
        <f t="shared" ca="1" si="46"/>
        <v>101.5</v>
      </c>
      <c r="I173" s="33">
        <f ca="1">VLOOKUP($B173, Rekap_Tugas!$A$3:$I$161, 7, FALSE)</f>
        <v>104</v>
      </c>
      <c r="J173" s="33">
        <f ca="1">VLOOKUP($B173, Rekap_Tugas!$A$3:$I$161, 8, FALSE)</f>
        <v>95</v>
      </c>
      <c r="K173" s="33">
        <f ca="1">VLOOKUP($B173, Rekap_Tugas!$A$3:$I$161, 9, FALSE)</f>
        <v>105</v>
      </c>
      <c r="L173" s="35">
        <f t="shared" ca="1" si="47"/>
        <v>101.33333333333333</v>
      </c>
      <c r="M173" s="36">
        <f>VLOOKUP(B173,UTS!$B$5:$M$163,12,FALSE)</f>
        <v>69.5</v>
      </c>
      <c r="N173" s="37">
        <f>VLOOKUP(B173,UAS!$B$5:$L$163,11,FALSE)</f>
        <v>76.5</v>
      </c>
      <c r="O173" s="38" t="s">
        <v>18</v>
      </c>
      <c r="P173" s="39">
        <v>85</v>
      </c>
      <c r="Q173" s="30">
        <v>25</v>
      </c>
      <c r="R173" s="36">
        <f t="shared" si="48"/>
        <v>92.592592592592595</v>
      </c>
      <c r="S173" s="35">
        <f t="shared" ca="1" si="49"/>
        <v>82.614814814814807</v>
      </c>
      <c r="T173" s="24" t="str">
        <f>VLOOKUP(B173,UAS!$B$5:$M$163,12,FALSE)</f>
        <v>B</v>
      </c>
      <c r="U173" s="40" t="str">
        <f t="shared" ca="1" si="50"/>
        <v>AB</v>
      </c>
      <c r="V173" s="41" t="str">
        <f t="shared" si="51"/>
        <v>Muhammad Haidar Akita Tresnadi</v>
      </c>
      <c r="W173" s="42">
        <f t="shared" si="52"/>
        <v>13521025</v>
      </c>
      <c r="X173" s="42">
        <f t="shared" si="53"/>
        <v>23</v>
      </c>
      <c r="Y173" s="12"/>
      <c r="Z173" s="2"/>
    </row>
    <row r="174" spans="1:26" ht="15" x14ac:dyDescent="0.25">
      <c r="A174" s="30">
        <v>24</v>
      </c>
      <c r="B174" s="30">
        <v>13521026</v>
      </c>
      <c r="C174" s="31" t="s">
        <v>169</v>
      </c>
      <c r="D174" s="32" t="s">
        <v>9</v>
      </c>
      <c r="E174" s="33">
        <f ca="1">VLOOKUP($B174, Rekap_Tugas!$A$3:$I$161, 4, FALSE)</f>
        <v>92</v>
      </c>
      <c r="F174" s="33">
        <f ca="1">VLOOKUP($B174, Rekap_Tugas!$A$3:$I$161, 5, FALSE)</f>
        <v>113</v>
      </c>
      <c r="G174" s="33">
        <f ca="1">VLOOKUP($B174, Rekap_Tugas!$A$3:$I$161, 6, FALSE)</f>
        <v>101</v>
      </c>
      <c r="H174" s="34">
        <f t="shared" ca="1" si="46"/>
        <v>102</v>
      </c>
      <c r="I174" s="33">
        <f ca="1">VLOOKUP($B174, Rekap_Tugas!$A$3:$I$161, 7, FALSE)</f>
        <v>102</v>
      </c>
      <c r="J174" s="33">
        <f ca="1">VLOOKUP($B174, Rekap_Tugas!$A$3:$I$161, 8, FALSE)</f>
        <v>82</v>
      </c>
      <c r="K174" s="33">
        <f ca="1">VLOOKUP($B174, Rekap_Tugas!$A$3:$I$161, 9, FALSE)</f>
        <v>103</v>
      </c>
      <c r="L174" s="35">
        <f t="shared" ca="1" si="47"/>
        <v>95.666666666666671</v>
      </c>
      <c r="M174" s="36">
        <f>VLOOKUP(B174,UTS!$B$5:$M$163,12,FALSE)</f>
        <v>68</v>
      </c>
      <c r="N174" s="37">
        <f>VLOOKUP(B174,UAS!$B$5:$L$163,11,FALSE)</f>
        <v>73.5</v>
      </c>
      <c r="O174" s="38" t="s">
        <v>15</v>
      </c>
      <c r="P174" s="39">
        <v>75</v>
      </c>
      <c r="Q174" s="30">
        <v>27</v>
      </c>
      <c r="R174" s="36">
        <f t="shared" si="48"/>
        <v>100</v>
      </c>
      <c r="S174" s="35">
        <f t="shared" ca="1" si="49"/>
        <v>80.118750000000006</v>
      </c>
      <c r="T174" s="24" t="str">
        <f>VLOOKUP(B174,UAS!$B$5:$M$163,12,FALSE)</f>
        <v>AB</v>
      </c>
      <c r="U174" s="40" t="str">
        <f t="shared" ca="1" si="50"/>
        <v>AB</v>
      </c>
      <c r="V174" s="41" t="str">
        <f t="shared" si="51"/>
        <v>Kartini Copa</v>
      </c>
      <c r="W174" s="42">
        <f t="shared" si="52"/>
        <v>13521026</v>
      </c>
      <c r="X174" s="42">
        <f t="shared" si="53"/>
        <v>24</v>
      </c>
      <c r="Y174" s="12"/>
      <c r="Z174" s="2"/>
    </row>
    <row r="175" spans="1:26" ht="15" x14ac:dyDescent="0.25">
      <c r="A175" s="30">
        <v>25</v>
      </c>
      <c r="B175" s="30">
        <v>13521027</v>
      </c>
      <c r="C175" s="31" t="s">
        <v>145</v>
      </c>
      <c r="D175" s="32" t="s">
        <v>9</v>
      </c>
      <c r="E175" s="33">
        <f ca="1">VLOOKUP($B175, Rekap_Tugas!$A$3:$I$161, 4, FALSE)</f>
        <v>97.5</v>
      </c>
      <c r="F175" s="33">
        <f ca="1">VLOOKUP($B175, Rekap_Tugas!$A$3:$I$161, 5, FALSE)</f>
        <v>112</v>
      </c>
      <c r="G175" s="33">
        <f ca="1">VLOOKUP($B175, Rekap_Tugas!$A$3:$I$161, 6, FALSE)</f>
        <v>105</v>
      </c>
      <c r="H175" s="34">
        <f t="shared" ca="1" si="46"/>
        <v>104.83333333333333</v>
      </c>
      <c r="I175" s="33">
        <f ca="1">VLOOKUP($B175, Rekap_Tugas!$A$3:$I$161, 7, FALSE)</f>
        <v>102</v>
      </c>
      <c r="J175" s="33">
        <f ca="1">VLOOKUP($B175, Rekap_Tugas!$A$3:$I$161, 8, FALSE)</f>
        <v>96.5</v>
      </c>
      <c r="K175" s="33">
        <f ca="1">VLOOKUP($B175, Rekap_Tugas!$A$3:$I$161, 9, FALSE)</f>
        <v>94.5</v>
      </c>
      <c r="L175" s="35">
        <f t="shared" ca="1" si="47"/>
        <v>97.666666666666671</v>
      </c>
      <c r="M175" s="36">
        <f>VLOOKUP(B175,UTS!$B$5:$M$163,12,FALSE)</f>
        <v>70.5</v>
      </c>
      <c r="N175" s="37">
        <f>VLOOKUP(B175,UAS!$B$5:$L$163,11,FALSE)</f>
        <v>79</v>
      </c>
      <c r="O175" s="38" t="s">
        <v>18</v>
      </c>
      <c r="P175" s="39">
        <v>85</v>
      </c>
      <c r="Q175" s="30">
        <v>27</v>
      </c>
      <c r="R175" s="36">
        <f t="shared" si="48"/>
        <v>100</v>
      </c>
      <c r="S175" s="35">
        <f t="shared" ca="1" si="49"/>
        <v>83.84375</v>
      </c>
      <c r="T175" s="24" t="str">
        <f>VLOOKUP(B175,UAS!$B$5:$M$163,12,FALSE)</f>
        <v>A</v>
      </c>
      <c r="U175" s="40" t="str">
        <f t="shared" ca="1" si="50"/>
        <v>AB</v>
      </c>
      <c r="V175" s="41" t="str">
        <f t="shared" si="51"/>
        <v>Agsha Athalla Nurkareem</v>
      </c>
      <c r="W175" s="42">
        <f t="shared" si="52"/>
        <v>13521027</v>
      </c>
      <c r="X175" s="42">
        <f t="shared" si="53"/>
        <v>25</v>
      </c>
      <c r="Y175" s="12"/>
      <c r="Z175" s="2"/>
    </row>
    <row r="176" spans="1:26" ht="15" x14ac:dyDescent="0.25">
      <c r="A176" s="30">
        <v>26</v>
      </c>
      <c r="B176" s="30">
        <v>13521028</v>
      </c>
      <c r="C176" s="31" t="s">
        <v>187</v>
      </c>
      <c r="D176" s="32" t="s">
        <v>9</v>
      </c>
      <c r="E176" s="33">
        <f ca="1">VLOOKUP($B176, Rekap_Tugas!$A$3:$I$161, 4, FALSE)</f>
        <v>85</v>
      </c>
      <c r="F176" s="33">
        <f ca="1">VLOOKUP($B176, Rekap_Tugas!$A$3:$I$161, 5, FALSE)</f>
        <v>115</v>
      </c>
      <c r="G176" s="33">
        <f ca="1">VLOOKUP($B176, Rekap_Tugas!$A$3:$I$161, 6, FALSE)</f>
        <v>102</v>
      </c>
      <c r="H176" s="34">
        <f t="shared" ca="1" si="46"/>
        <v>100.66666666666667</v>
      </c>
      <c r="I176" s="33">
        <f ca="1">VLOOKUP($B176, Rekap_Tugas!$A$3:$I$161, 7, FALSE)</f>
        <v>106</v>
      </c>
      <c r="J176" s="33">
        <f ca="1">VLOOKUP($B176, Rekap_Tugas!$A$3:$I$161, 8, FALSE)</f>
        <v>95</v>
      </c>
      <c r="K176" s="33">
        <f ca="1">VLOOKUP($B176, Rekap_Tugas!$A$3:$I$161, 9, FALSE)</f>
        <v>91</v>
      </c>
      <c r="L176" s="35">
        <f t="shared" ca="1" si="47"/>
        <v>97.333333333333329</v>
      </c>
      <c r="M176" s="36">
        <f>VLOOKUP(B176,UTS!$B$5:$M$163,12,FALSE)</f>
        <v>66.5</v>
      </c>
      <c r="N176" s="37">
        <f>VLOOKUP(B176,UAS!$B$5:$L$163,11,FALSE)</f>
        <v>64.5</v>
      </c>
      <c r="O176" s="38" t="s">
        <v>15</v>
      </c>
      <c r="P176" s="39">
        <v>75</v>
      </c>
      <c r="Q176" s="30">
        <v>21</v>
      </c>
      <c r="R176" s="36">
        <f t="shared" si="48"/>
        <v>77.777777777777786</v>
      </c>
      <c r="S176" s="35">
        <f t="shared" ca="1" si="49"/>
        <v>76.331944444444431</v>
      </c>
      <c r="T176" s="24" t="str">
        <f>VLOOKUP(B176,UAS!$B$5:$M$163,12,FALSE)</f>
        <v>tidak ada</v>
      </c>
      <c r="U176" s="40" t="str">
        <f t="shared" ca="1" si="50"/>
        <v>B</v>
      </c>
      <c r="V176" s="41" t="str">
        <f t="shared" si="51"/>
        <v>M Zulfiansyah Bayu Pratama</v>
      </c>
      <c r="W176" s="42">
        <f t="shared" si="52"/>
        <v>13521028</v>
      </c>
      <c r="X176" s="42">
        <f t="shared" si="53"/>
        <v>26</v>
      </c>
      <c r="Y176" s="12"/>
      <c r="Z176" s="2"/>
    </row>
    <row r="177" spans="1:26" ht="15" x14ac:dyDescent="0.25">
      <c r="A177" s="30">
        <v>27</v>
      </c>
      <c r="B177" s="30">
        <v>13521029</v>
      </c>
      <c r="C177" s="31" t="s">
        <v>188</v>
      </c>
      <c r="D177" s="32" t="s">
        <v>9</v>
      </c>
      <c r="E177" s="33">
        <f ca="1">VLOOKUP($B177, Rekap_Tugas!$A$3:$I$161, 4, FALSE)</f>
        <v>82</v>
      </c>
      <c r="F177" s="33">
        <f ca="1">VLOOKUP($B177, Rekap_Tugas!$A$3:$I$161, 5, FALSE)</f>
        <v>114</v>
      </c>
      <c r="G177" s="33">
        <f ca="1">VLOOKUP($B177, Rekap_Tugas!$A$3:$I$161, 6, FALSE)</f>
        <v>96</v>
      </c>
      <c r="H177" s="34">
        <f t="shared" ca="1" si="46"/>
        <v>97.333333333333329</v>
      </c>
      <c r="I177" s="33">
        <f ca="1">VLOOKUP($B177, Rekap_Tugas!$A$3:$I$161, 7, FALSE)</f>
        <v>101</v>
      </c>
      <c r="J177" s="33">
        <f ca="1">VLOOKUP($B177, Rekap_Tugas!$A$3:$I$161, 8, FALSE)</f>
        <v>83</v>
      </c>
      <c r="K177" s="33">
        <f ca="1">VLOOKUP($B177, Rekap_Tugas!$A$3:$I$161, 9, FALSE)</f>
        <v>86</v>
      </c>
      <c r="L177" s="35">
        <f t="shared" ca="1" si="47"/>
        <v>90</v>
      </c>
      <c r="M177" s="36">
        <f>VLOOKUP(B177,UTS!$B$5:$M$163,12,FALSE)</f>
        <v>46</v>
      </c>
      <c r="N177" s="37">
        <f>VLOOKUP(B177,UAS!$B$5:$L$163,11,FALSE)</f>
        <v>88</v>
      </c>
      <c r="O177" s="38" t="s">
        <v>15</v>
      </c>
      <c r="P177" s="39">
        <v>75</v>
      </c>
      <c r="Q177" s="30">
        <v>25</v>
      </c>
      <c r="R177" s="36">
        <f t="shared" si="48"/>
        <v>92.592592592592595</v>
      </c>
      <c r="S177" s="35">
        <f t="shared" ca="1" si="49"/>
        <v>76.039814814814804</v>
      </c>
      <c r="T177" s="24" t="str">
        <f>VLOOKUP(B177,UAS!$B$5:$M$163,12,FALSE)</f>
        <v>A</v>
      </c>
      <c r="U177" s="40" t="str">
        <f t="shared" ca="1" si="50"/>
        <v>B</v>
      </c>
      <c r="V177" s="41" t="str">
        <f t="shared" si="51"/>
        <v>M. Malik I. Baharsyah</v>
      </c>
      <c r="W177" s="42">
        <f t="shared" si="52"/>
        <v>13521029</v>
      </c>
      <c r="X177" s="42">
        <f t="shared" si="53"/>
        <v>27</v>
      </c>
      <c r="Y177" s="12"/>
      <c r="Z177" s="2"/>
    </row>
    <row r="178" spans="1:26" ht="15" x14ac:dyDescent="0.25">
      <c r="A178" s="30">
        <v>28</v>
      </c>
      <c r="B178" s="30">
        <v>13521030</v>
      </c>
      <c r="C178" s="31" t="s">
        <v>165</v>
      </c>
      <c r="D178" s="32" t="s">
        <v>9</v>
      </c>
      <c r="E178" s="33">
        <f ca="1">VLOOKUP($B178, Rekap_Tugas!$A$3:$I$161, 4, FALSE)</f>
        <v>92</v>
      </c>
      <c r="F178" s="33">
        <f ca="1">VLOOKUP($B178, Rekap_Tugas!$A$3:$I$161, 5, FALSE)</f>
        <v>113</v>
      </c>
      <c r="G178" s="33">
        <f ca="1">VLOOKUP($B178, Rekap_Tugas!$A$3:$I$161, 6, FALSE)</f>
        <v>104</v>
      </c>
      <c r="H178" s="34">
        <f t="shared" ca="1" si="46"/>
        <v>103</v>
      </c>
      <c r="I178" s="33">
        <f ca="1">VLOOKUP($B178, Rekap_Tugas!$A$3:$I$161, 7, FALSE)</f>
        <v>106</v>
      </c>
      <c r="J178" s="33">
        <f ca="1">VLOOKUP($B178, Rekap_Tugas!$A$3:$I$161, 8, FALSE)</f>
        <v>98</v>
      </c>
      <c r="K178" s="33">
        <f ca="1">VLOOKUP($B178, Rekap_Tugas!$A$3:$I$161, 9, FALSE)</f>
        <v>86</v>
      </c>
      <c r="L178" s="35">
        <f t="shared" ca="1" si="47"/>
        <v>96.666666666666671</v>
      </c>
      <c r="M178" s="36">
        <f>VLOOKUP(B178,UTS!$B$5:$M$163,12,FALSE)</f>
        <v>73</v>
      </c>
      <c r="N178" s="37">
        <f>VLOOKUP(B178,UAS!$B$5:$L$163,11,FALSE)</f>
        <v>70</v>
      </c>
      <c r="O178" s="38" t="s">
        <v>15</v>
      </c>
      <c r="P178" s="39">
        <v>75</v>
      </c>
      <c r="Q178" s="30">
        <v>27</v>
      </c>
      <c r="R178" s="36">
        <f t="shared" si="48"/>
        <v>100</v>
      </c>
      <c r="S178" s="35">
        <f t="shared" ca="1" si="49"/>
        <v>80.887500000000003</v>
      </c>
      <c r="T178" s="24" t="str">
        <f>VLOOKUP(B178,UAS!$B$5:$M$163,12,FALSE)</f>
        <v>AB</v>
      </c>
      <c r="U178" s="40" t="str">
        <f t="shared" ca="1" si="50"/>
        <v>AB</v>
      </c>
      <c r="V178" s="41" t="str">
        <f t="shared" si="51"/>
        <v>Jauza Lathifah Annassalafi</v>
      </c>
      <c r="W178" s="42">
        <f t="shared" si="52"/>
        <v>13521030</v>
      </c>
      <c r="X178" s="42">
        <f t="shared" si="53"/>
        <v>28</v>
      </c>
      <c r="Y178" s="12"/>
      <c r="Z178" s="2"/>
    </row>
    <row r="179" spans="1:26" ht="15" x14ac:dyDescent="0.25">
      <c r="A179" s="30">
        <v>29</v>
      </c>
      <c r="B179" s="30">
        <v>13521031</v>
      </c>
      <c r="C179" s="31" t="s">
        <v>136</v>
      </c>
      <c r="D179" s="32" t="s">
        <v>9</v>
      </c>
      <c r="E179" s="33">
        <f ca="1">VLOOKUP($B179, Rekap_Tugas!$A$3:$I$161, 4, FALSE)</f>
        <v>87.5</v>
      </c>
      <c r="F179" s="33">
        <f ca="1">VLOOKUP($B179, Rekap_Tugas!$A$3:$I$161, 5, FALSE)</f>
        <v>115</v>
      </c>
      <c r="G179" s="33">
        <f ca="1">VLOOKUP($B179, Rekap_Tugas!$A$3:$I$161, 6, FALSE)</f>
        <v>108</v>
      </c>
      <c r="H179" s="34">
        <f t="shared" ca="1" si="46"/>
        <v>103.5</v>
      </c>
      <c r="I179" s="33">
        <f ca="1">VLOOKUP($B179, Rekap_Tugas!$A$3:$I$161, 7, FALSE)</f>
        <v>106</v>
      </c>
      <c r="J179" s="33">
        <f ca="1">VLOOKUP($B179, Rekap_Tugas!$A$3:$I$161, 8, FALSE)</f>
        <v>103</v>
      </c>
      <c r="K179" s="33">
        <f ca="1">VLOOKUP($B179, Rekap_Tugas!$A$3:$I$161, 9, FALSE)</f>
        <v>103</v>
      </c>
      <c r="L179" s="35">
        <f t="shared" ca="1" si="47"/>
        <v>104</v>
      </c>
      <c r="M179" s="36">
        <f>VLOOKUP(B179,UTS!$B$5:$M$163,12,FALSE)</f>
        <v>74.900000000000006</v>
      </c>
      <c r="N179" s="37">
        <f>VLOOKUP(B179,UAS!$B$5:$L$163,11,FALSE)</f>
        <v>78</v>
      </c>
      <c r="O179" s="38" t="s">
        <v>18</v>
      </c>
      <c r="P179" s="39">
        <v>85</v>
      </c>
      <c r="Q179" s="30">
        <v>24</v>
      </c>
      <c r="R179" s="36">
        <f t="shared" si="48"/>
        <v>88.888888888888886</v>
      </c>
      <c r="S179" s="9">
        <f t="shared" ca="1" si="49"/>
        <v>85.378472222222229</v>
      </c>
      <c r="T179" s="24" t="str">
        <f>VLOOKUP(B179,UAS!$B$5:$M$163,12,FALSE)</f>
        <v>A</v>
      </c>
      <c r="U179" s="40" t="str">
        <f t="shared" ca="1" si="50"/>
        <v>A</v>
      </c>
      <c r="V179" s="41" t="str">
        <f t="shared" si="51"/>
        <v>Fahrian Afdholi</v>
      </c>
      <c r="W179" s="42">
        <f t="shared" si="52"/>
        <v>13521031</v>
      </c>
      <c r="X179" s="42">
        <f t="shared" si="53"/>
        <v>29</v>
      </c>
      <c r="Y179" s="12"/>
      <c r="Z179" s="2"/>
    </row>
  </sheetData>
  <sortState xmlns:xlrd2="http://schemas.microsoft.com/office/spreadsheetml/2017/richdata2" ref="A21:X179">
    <sortCondition ref="D21:D179"/>
    <sortCondition ref="A21:A179"/>
  </sortState>
  <mergeCells count="22">
    <mergeCell ref="T19:T20"/>
    <mergeCell ref="U19:U20"/>
    <mergeCell ref="V19:V20"/>
    <mergeCell ref="W19:W20"/>
    <mergeCell ref="X19:X20"/>
    <mergeCell ref="A16:C16"/>
    <mergeCell ref="A19:A20"/>
    <mergeCell ref="O19:P19"/>
    <mergeCell ref="Q19:R19"/>
    <mergeCell ref="S19:S20"/>
    <mergeCell ref="B19:B20"/>
    <mergeCell ref="C19:C20"/>
    <mergeCell ref="D19:D20"/>
    <mergeCell ref="E19:H19"/>
    <mergeCell ref="I19:L19"/>
    <mergeCell ref="M19:M20"/>
    <mergeCell ref="N19:N20"/>
    <mergeCell ref="A10:C10"/>
    <mergeCell ref="A11:C11"/>
    <mergeCell ref="A13:C13"/>
    <mergeCell ref="A14:B14"/>
    <mergeCell ref="A15:C1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00"/>
  <sheetViews>
    <sheetView workbookViewId="0">
      <pane ySplit="4" topLeftCell="A109" activePane="bottomLeft" state="frozen"/>
      <selection pane="bottomLeft" activeCell="F120" sqref="F120"/>
    </sheetView>
  </sheetViews>
  <sheetFormatPr defaultColWidth="12.5703125" defaultRowHeight="15.75" customHeight="1" x14ac:dyDescent="0.2"/>
  <cols>
    <col min="3" max="3" width="29.42578125" customWidth="1"/>
    <col min="5" max="5" width="7.28515625" customWidth="1"/>
    <col min="6" max="7" width="7.85546875" customWidth="1"/>
    <col min="8" max="8" width="7.140625" customWidth="1"/>
    <col min="9" max="9" width="7.85546875" customWidth="1"/>
    <col min="10" max="10" width="8" customWidth="1"/>
    <col min="11" max="11" width="7.85546875" customWidth="1"/>
    <col min="12" max="12" width="7" customWidth="1"/>
    <col min="13" max="13" width="7.7109375" customWidth="1"/>
  </cols>
  <sheetData>
    <row r="1" spans="1:13" ht="12.75" x14ac:dyDescent="0.2">
      <c r="A1" s="28" t="s">
        <v>210</v>
      </c>
      <c r="M1" s="46"/>
    </row>
    <row r="2" spans="1:13" ht="12.75" x14ac:dyDescent="0.2">
      <c r="M2" s="46"/>
    </row>
    <row r="3" spans="1:13" ht="12.75" x14ac:dyDescent="0.2">
      <c r="A3" s="72" t="s">
        <v>23</v>
      </c>
      <c r="B3" s="72" t="s">
        <v>24</v>
      </c>
      <c r="C3" s="72" t="s">
        <v>25</v>
      </c>
      <c r="D3" s="72" t="s">
        <v>26</v>
      </c>
      <c r="E3" s="73" t="s">
        <v>29</v>
      </c>
      <c r="F3" s="74"/>
      <c r="G3" s="74"/>
      <c r="H3" s="74"/>
      <c r="I3" s="74"/>
      <c r="J3" s="74"/>
      <c r="K3" s="74"/>
      <c r="L3" s="74"/>
      <c r="M3" s="75"/>
    </row>
    <row r="4" spans="1:13" ht="12.75" x14ac:dyDescent="0.2">
      <c r="A4" s="62"/>
      <c r="B4" s="62"/>
      <c r="C4" s="62"/>
      <c r="D4" s="62"/>
      <c r="E4" s="47" t="s">
        <v>211</v>
      </c>
      <c r="F4" s="47" t="s">
        <v>212</v>
      </c>
      <c r="G4" s="47" t="s">
        <v>213</v>
      </c>
      <c r="H4" s="47" t="s">
        <v>214</v>
      </c>
      <c r="I4" s="47" t="s">
        <v>215</v>
      </c>
      <c r="J4" s="47" t="s">
        <v>216</v>
      </c>
      <c r="K4" s="47" t="s">
        <v>217</v>
      </c>
      <c r="L4" s="47" t="s">
        <v>218</v>
      </c>
      <c r="M4" s="48" t="s">
        <v>219</v>
      </c>
    </row>
    <row r="5" spans="1:13" ht="15.75" customHeight="1" x14ac:dyDescent="0.25">
      <c r="A5" s="30">
        <v>1</v>
      </c>
      <c r="B5" s="30">
        <v>13521041</v>
      </c>
      <c r="C5" s="31" t="s">
        <v>159</v>
      </c>
      <c r="D5" s="32" t="s">
        <v>7</v>
      </c>
      <c r="E5" s="47">
        <v>9</v>
      </c>
      <c r="F5" s="47">
        <v>12</v>
      </c>
      <c r="G5" s="47"/>
      <c r="H5" s="47">
        <v>10</v>
      </c>
      <c r="I5" s="47">
        <v>2</v>
      </c>
      <c r="J5" s="47">
        <v>10</v>
      </c>
      <c r="K5" s="47">
        <v>10</v>
      </c>
      <c r="L5" s="47">
        <v>7.5</v>
      </c>
      <c r="M5" s="48">
        <f t="shared" ref="M5:M163" si="0">SUM(E5:L5)</f>
        <v>60.5</v>
      </c>
    </row>
    <row r="6" spans="1:13" ht="15.75" customHeight="1" x14ac:dyDescent="0.25">
      <c r="A6" s="30">
        <v>2</v>
      </c>
      <c r="B6" s="30">
        <v>13521043</v>
      </c>
      <c r="C6" s="31" t="s">
        <v>77</v>
      </c>
      <c r="D6" s="32" t="s">
        <v>7</v>
      </c>
      <c r="E6" s="47">
        <v>9</v>
      </c>
      <c r="F6" s="47">
        <v>8</v>
      </c>
      <c r="G6" s="47">
        <v>3</v>
      </c>
      <c r="H6" s="47">
        <v>10</v>
      </c>
      <c r="I6" s="47">
        <v>25</v>
      </c>
      <c r="J6" s="47">
        <v>7.5</v>
      </c>
      <c r="K6" s="47">
        <v>10</v>
      </c>
      <c r="L6" s="47">
        <v>13.5</v>
      </c>
      <c r="M6" s="48">
        <f t="shared" si="0"/>
        <v>86</v>
      </c>
    </row>
    <row r="7" spans="1:13" ht="15.75" customHeight="1" x14ac:dyDescent="0.25">
      <c r="A7" s="30">
        <v>3</v>
      </c>
      <c r="B7" s="30">
        <v>13521045</v>
      </c>
      <c r="C7" s="31" t="s">
        <v>74</v>
      </c>
      <c r="D7" s="32" t="s">
        <v>7</v>
      </c>
      <c r="E7" s="47">
        <v>10</v>
      </c>
      <c r="F7" s="47">
        <v>8</v>
      </c>
      <c r="G7" s="47">
        <v>3</v>
      </c>
      <c r="H7" s="47">
        <v>10</v>
      </c>
      <c r="I7" s="47">
        <v>25</v>
      </c>
      <c r="J7" s="47">
        <v>10</v>
      </c>
      <c r="K7" s="47">
        <v>9</v>
      </c>
      <c r="L7" s="47">
        <v>13.5</v>
      </c>
      <c r="M7" s="48">
        <f t="shared" si="0"/>
        <v>88.5</v>
      </c>
    </row>
    <row r="8" spans="1:13" ht="15.75" customHeight="1" x14ac:dyDescent="0.25">
      <c r="A8" s="30">
        <v>4</v>
      </c>
      <c r="B8" s="30">
        <v>13521047</v>
      </c>
      <c r="C8" s="31" t="s">
        <v>132</v>
      </c>
      <c r="D8" s="32" t="s">
        <v>7</v>
      </c>
      <c r="E8" s="47">
        <v>10</v>
      </c>
      <c r="F8" s="47">
        <v>7</v>
      </c>
      <c r="G8" s="47">
        <v>4</v>
      </c>
      <c r="H8" s="47">
        <v>10</v>
      </c>
      <c r="I8" s="47">
        <v>25</v>
      </c>
      <c r="J8" s="47">
        <v>7.5</v>
      </c>
      <c r="K8" s="47">
        <v>9</v>
      </c>
      <c r="L8" s="47">
        <v>14</v>
      </c>
      <c r="M8" s="48">
        <f t="shared" si="0"/>
        <v>86.5</v>
      </c>
    </row>
    <row r="9" spans="1:13" ht="15.75" customHeight="1" x14ac:dyDescent="0.25">
      <c r="A9" s="30">
        <v>5</v>
      </c>
      <c r="B9" s="30">
        <v>13521049</v>
      </c>
      <c r="C9" s="31" t="s">
        <v>68</v>
      </c>
      <c r="D9" s="32" t="s">
        <v>7</v>
      </c>
      <c r="E9" s="47">
        <v>10</v>
      </c>
      <c r="F9" s="47">
        <v>8</v>
      </c>
      <c r="G9" s="47">
        <v>4</v>
      </c>
      <c r="H9" s="47">
        <v>10</v>
      </c>
      <c r="I9" s="47">
        <v>25</v>
      </c>
      <c r="J9" s="47">
        <v>10</v>
      </c>
      <c r="K9" s="47">
        <v>10</v>
      </c>
      <c r="L9" s="47">
        <v>13</v>
      </c>
      <c r="M9" s="48">
        <f t="shared" si="0"/>
        <v>90</v>
      </c>
    </row>
    <row r="10" spans="1:13" ht="15.75" customHeight="1" x14ac:dyDescent="0.25">
      <c r="A10" s="30">
        <v>6</v>
      </c>
      <c r="B10" s="30">
        <v>13521051</v>
      </c>
      <c r="C10" s="31" t="s">
        <v>171</v>
      </c>
      <c r="D10" s="32" t="s">
        <v>7</v>
      </c>
      <c r="E10" s="47">
        <v>10</v>
      </c>
      <c r="F10" s="47">
        <v>13</v>
      </c>
      <c r="G10" s="47">
        <v>3</v>
      </c>
      <c r="H10" s="47">
        <v>10</v>
      </c>
      <c r="I10" s="47">
        <v>10</v>
      </c>
      <c r="J10" s="47">
        <v>6.5</v>
      </c>
      <c r="K10" s="47">
        <v>8.5</v>
      </c>
      <c r="L10" s="47">
        <v>6.5</v>
      </c>
      <c r="M10" s="48">
        <f t="shared" si="0"/>
        <v>67.5</v>
      </c>
    </row>
    <row r="11" spans="1:13" ht="15.75" customHeight="1" x14ac:dyDescent="0.25">
      <c r="A11" s="30">
        <v>7</v>
      </c>
      <c r="B11" s="30">
        <v>13521053</v>
      </c>
      <c r="C11" s="31" t="s">
        <v>191</v>
      </c>
      <c r="D11" s="32" t="s">
        <v>7</v>
      </c>
      <c r="E11" s="47">
        <v>9</v>
      </c>
      <c r="F11" s="47">
        <v>2</v>
      </c>
      <c r="G11" s="47">
        <v>1</v>
      </c>
      <c r="H11" s="47">
        <v>5</v>
      </c>
      <c r="I11" s="47">
        <v>20</v>
      </c>
      <c r="J11" s="47">
        <v>5</v>
      </c>
      <c r="K11" s="47">
        <v>8</v>
      </c>
      <c r="L11" s="47">
        <v>5</v>
      </c>
      <c r="M11" s="48">
        <f t="shared" si="0"/>
        <v>55</v>
      </c>
    </row>
    <row r="12" spans="1:13" ht="15.75" customHeight="1" x14ac:dyDescent="0.25">
      <c r="A12" s="30">
        <v>8</v>
      </c>
      <c r="B12" s="30">
        <v>13521055</v>
      </c>
      <c r="C12" s="31" t="s">
        <v>108</v>
      </c>
      <c r="D12" s="32" t="s">
        <v>7</v>
      </c>
      <c r="E12" s="47">
        <v>9</v>
      </c>
      <c r="F12" s="47">
        <v>2</v>
      </c>
      <c r="G12" s="47">
        <v>4</v>
      </c>
      <c r="H12" s="47">
        <v>10</v>
      </c>
      <c r="I12" s="47">
        <v>13</v>
      </c>
      <c r="J12" s="47">
        <v>10</v>
      </c>
      <c r="K12" s="47">
        <v>10</v>
      </c>
      <c r="L12" s="47">
        <v>14.5</v>
      </c>
      <c r="M12" s="48">
        <f t="shared" si="0"/>
        <v>72.5</v>
      </c>
    </row>
    <row r="13" spans="1:13" ht="15.75" customHeight="1" x14ac:dyDescent="0.25">
      <c r="A13" s="30">
        <v>9</v>
      </c>
      <c r="B13" s="30">
        <v>13521057</v>
      </c>
      <c r="C13" s="31" t="s">
        <v>170</v>
      </c>
      <c r="D13" s="32" t="s">
        <v>7</v>
      </c>
      <c r="E13" s="47">
        <v>4</v>
      </c>
      <c r="F13" s="47">
        <v>15</v>
      </c>
      <c r="G13" s="47">
        <v>3</v>
      </c>
      <c r="H13" s="47">
        <v>10</v>
      </c>
      <c r="I13" s="47">
        <v>20</v>
      </c>
      <c r="J13" s="47">
        <v>1</v>
      </c>
      <c r="K13" s="47">
        <v>8.5</v>
      </c>
      <c r="L13" s="47">
        <v>5</v>
      </c>
      <c r="M13" s="48">
        <f t="shared" si="0"/>
        <v>66.5</v>
      </c>
    </row>
    <row r="14" spans="1:13" ht="15.75" customHeight="1" x14ac:dyDescent="0.25">
      <c r="A14" s="30">
        <v>10</v>
      </c>
      <c r="B14" s="30">
        <v>13521059</v>
      </c>
      <c r="C14" s="31" t="s">
        <v>94</v>
      </c>
      <c r="D14" s="32" t="s">
        <v>7</v>
      </c>
      <c r="E14" s="47">
        <v>8</v>
      </c>
      <c r="F14" s="47">
        <v>13</v>
      </c>
      <c r="G14" s="47">
        <v>3</v>
      </c>
      <c r="H14" s="47">
        <v>10</v>
      </c>
      <c r="I14" s="47">
        <v>22</v>
      </c>
      <c r="J14" s="47">
        <v>7.5</v>
      </c>
      <c r="K14" s="47">
        <v>7</v>
      </c>
      <c r="L14" s="47">
        <v>13.5</v>
      </c>
      <c r="M14" s="48">
        <f t="shared" si="0"/>
        <v>84</v>
      </c>
    </row>
    <row r="15" spans="1:13" ht="15.75" customHeight="1" x14ac:dyDescent="0.25">
      <c r="A15" s="30">
        <v>11</v>
      </c>
      <c r="B15" s="30">
        <v>13521061</v>
      </c>
      <c r="C15" s="31" t="s">
        <v>143</v>
      </c>
      <c r="D15" s="32" t="s">
        <v>7</v>
      </c>
      <c r="E15" s="47">
        <v>9</v>
      </c>
      <c r="F15" s="47">
        <v>8</v>
      </c>
      <c r="G15" s="47">
        <v>3</v>
      </c>
      <c r="H15" s="47">
        <v>10</v>
      </c>
      <c r="I15" s="47">
        <v>15</v>
      </c>
      <c r="J15" s="47">
        <v>5</v>
      </c>
      <c r="K15" s="47">
        <v>10</v>
      </c>
      <c r="L15" s="47">
        <v>14</v>
      </c>
      <c r="M15" s="48">
        <f t="shared" si="0"/>
        <v>74</v>
      </c>
    </row>
    <row r="16" spans="1:13" ht="15.75" customHeight="1" x14ac:dyDescent="0.25">
      <c r="A16" s="30">
        <v>12</v>
      </c>
      <c r="B16" s="30">
        <v>13521063</v>
      </c>
      <c r="C16" s="31" t="s">
        <v>163</v>
      </c>
      <c r="D16" s="32" t="s">
        <v>7</v>
      </c>
      <c r="E16" s="47">
        <v>6</v>
      </c>
      <c r="F16" s="47">
        <v>2</v>
      </c>
      <c r="G16" s="47">
        <v>3</v>
      </c>
      <c r="H16" s="47">
        <v>10</v>
      </c>
      <c r="I16" s="47">
        <v>22</v>
      </c>
      <c r="J16" s="47">
        <v>5</v>
      </c>
      <c r="K16" s="47">
        <v>10</v>
      </c>
      <c r="L16" s="47">
        <v>9</v>
      </c>
      <c r="M16" s="48">
        <f t="shared" si="0"/>
        <v>67</v>
      </c>
    </row>
    <row r="17" spans="1:13" ht="15.75" customHeight="1" x14ac:dyDescent="0.25">
      <c r="A17" s="30">
        <v>13</v>
      </c>
      <c r="B17" s="30">
        <v>13521065</v>
      </c>
      <c r="C17" s="31" t="s">
        <v>151</v>
      </c>
      <c r="D17" s="32" t="s">
        <v>7</v>
      </c>
      <c r="E17" s="47">
        <v>8</v>
      </c>
      <c r="F17" s="47">
        <v>12</v>
      </c>
      <c r="G17" s="47">
        <v>3</v>
      </c>
      <c r="H17" s="47">
        <v>10</v>
      </c>
      <c r="I17" s="47">
        <v>23</v>
      </c>
      <c r="J17" s="47">
        <v>5</v>
      </c>
      <c r="K17" s="47">
        <v>9</v>
      </c>
      <c r="L17" s="47">
        <v>5</v>
      </c>
      <c r="M17" s="48">
        <f t="shared" si="0"/>
        <v>75</v>
      </c>
    </row>
    <row r="18" spans="1:13" ht="15.75" customHeight="1" x14ac:dyDescent="0.25">
      <c r="A18" s="30">
        <v>14</v>
      </c>
      <c r="B18" s="30">
        <v>13521067</v>
      </c>
      <c r="C18" s="31" t="s">
        <v>166</v>
      </c>
      <c r="D18" s="32" t="s">
        <v>7</v>
      </c>
      <c r="E18" s="47">
        <v>10</v>
      </c>
      <c r="F18" s="47">
        <v>4</v>
      </c>
      <c r="G18" s="47">
        <v>4</v>
      </c>
      <c r="H18" s="47">
        <v>0</v>
      </c>
      <c r="I18" s="47">
        <v>20</v>
      </c>
      <c r="J18" s="47">
        <v>5</v>
      </c>
      <c r="K18" s="47">
        <v>8.5</v>
      </c>
      <c r="L18" s="47">
        <v>13</v>
      </c>
      <c r="M18" s="48">
        <f t="shared" si="0"/>
        <v>64.5</v>
      </c>
    </row>
    <row r="19" spans="1:13" ht="15.75" customHeight="1" x14ac:dyDescent="0.25">
      <c r="A19" s="30">
        <v>15</v>
      </c>
      <c r="B19" s="30">
        <v>13521069</v>
      </c>
      <c r="C19" s="31" t="s">
        <v>178</v>
      </c>
      <c r="D19" s="32" t="s">
        <v>7</v>
      </c>
      <c r="E19" s="47">
        <v>8</v>
      </c>
      <c r="F19" s="47">
        <v>14</v>
      </c>
      <c r="G19" s="47">
        <v>3</v>
      </c>
      <c r="H19" s="47">
        <v>10</v>
      </c>
      <c r="I19" s="47">
        <v>4</v>
      </c>
      <c r="J19" s="47">
        <v>5</v>
      </c>
      <c r="K19" s="47">
        <v>4</v>
      </c>
      <c r="L19" s="47">
        <v>10.5</v>
      </c>
      <c r="M19" s="48">
        <f t="shared" si="0"/>
        <v>58.5</v>
      </c>
    </row>
    <row r="20" spans="1:13" ht="15.75" customHeight="1" x14ac:dyDescent="0.25">
      <c r="A20" s="30">
        <v>16</v>
      </c>
      <c r="B20" s="30">
        <v>13521071</v>
      </c>
      <c r="C20" s="31" t="s">
        <v>58</v>
      </c>
      <c r="D20" s="32" t="s">
        <v>7</v>
      </c>
      <c r="E20" s="47">
        <v>9</v>
      </c>
      <c r="F20" s="47">
        <v>15</v>
      </c>
      <c r="G20" s="47">
        <v>3</v>
      </c>
      <c r="H20" s="47">
        <v>10</v>
      </c>
      <c r="I20" s="47">
        <v>25</v>
      </c>
      <c r="J20" s="47">
        <v>7.5</v>
      </c>
      <c r="K20" s="47">
        <v>9</v>
      </c>
      <c r="L20" s="47">
        <v>15</v>
      </c>
      <c r="M20" s="48">
        <f t="shared" si="0"/>
        <v>93.5</v>
      </c>
    </row>
    <row r="21" spans="1:13" ht="15.75" customHeight="1" x14ac:dyDescent="0.25">
      <c r="A21" s="30">
        <v>17</v>
      </c>
      <c r="B21" s="30">
        <v>13521073</v>
      </c>
      <c r="C21" s="31" t="s">
        <v>206</v>
      </c>
      <c r="D21" s="32" t="s">
        <v>7</v>
      </c>
      <c r="E21" s="47">
        <v>9</v>
      </c>
      <c r="F21" s="47">
        <v>3</v>
      </c>
      <c r="G21" s="47">
        <v>4</v>
      </c>
      <c r="H21" s="47">
        <v>0</v>
      </c>
      <c r="I21" s="47">
        <v>1</v>
      </c>
      <c r="J21" s="47">
        <v>7.5</v>
      </c>
      <c r="K21" s="47">
        <v>3.5</v>
      </c>
      <c r="L21" s="47">
        <v>3</v>
      </c>
      <c r="M21" s="48">
        <f t="shared" si="0"/>
        <v>31</v>
      </c>
    </row>
    <row r="22" spans="1:13" ht="15.75" customHeight="1" x14ac:dyDescent="0.25">
      <c r="A22" s="30">
        <v>18</v>
      </c>
      <c r="B22" s="30">
        <v>13521075</v>
      </c>
      <c r="C22" s="31" t="s">
        <v>174</v>
      </c>
      <c r="D22" s="32" t="s">
        <v>7</v>
      </c>
      <c r="E22" s="47">
        <v>6</v>
      </c>
      <c r="F22" s="47">
        <v>12</v>
      </c>
      <c r="G22" s="47">
        <v>4</v>
      </c>
      <c r="H22" s="47">
        <v>10</v>
      </c>
      <c r="I22" s="47">
        <v>17</v>
      </c>
      <c r="J22" s="47">
        <v>5</v>
      </c>
      <c r="K22" s="47">
        <v>10</v>
      </c>
      <c r="L22" s="47">
        <v>9.5</v>
      </c>
      <c r="M22" s="48">
        <f t="shared" si="0"/>
        <v>73.5</v>
      </c>
    </row>
    <row r="23" spans="1:13" ht="15.75" customHeight="1" x14ac:dyDescent="0.25">
      <c r="A23" s="30">
        <v>19</v>
      </c>
      <c r="B23" s="30">
        <v>13521077</v>
      </c>
      <c r="C23" s="31" t="s">
        <v>82</v>
      </c>
      <c r="D23" s="32" t="s">
        <v>7</v>
      </c>
      <c r="E23" s="47">
        <v>6.5</v>
      </c>
      <c r="F23" s="47">
        <v>14</v>
      </c>
      <c r="G23" s="47">
        <v>3</v>
      </c>
      <c r="H23" s="47">
        <v>10</v>
      </c>
      <c r="I23" s="47">
        <v>25</v>
      </c>
      <c r="J23" s="47">
        <v>9.5</v>
      </c>
      <c r="K23" s="47">
        <v>8</v>
      </c>
      <c r="L23" s="47">
        <v>10.5</v>
      </c>
      <c r="M23" s="48">
        <f t="shared" si="0"/>
        <v>86.5</v>
      </c>
    </row>
    <row r="24" spans="1:13" ht="15.75" customHeight="1" x14ac:dyDescent="0.25">
      <c r="A24" s="30">
        <v>20</v>
      </c>
      <c r="B24" s="30">
        <v>13521079</v>
      </c>
      <c r="C24" s="31" t="s">
        <v>172</v>
      </c>
      <c r="D24" s="32" t="s">
        <v>7</v>
      </c>
      <c r="E24" s="47">
        <v>9</v>
      </c>
      <c r="F24" s="47">
        <v>12</v>
      </c>
      <c r="G24" s="47">
        <v>3</v>
      </c>
      <c r="H24" s="47">
        <v>10</v>
      </c>
      <c r="I24" s="47">
        <v>2</v>
      </c>
      <c r="J24" s="47">
        <v>5</v>
      </c>
      <c r="K24" s="47">
        <v>8</v>
      </c>
      <c r="L24" s="47">
        <v>10</v>
      </c>
      <c r="M24" s="48">
        <f t="shared" si="0"/>
        <v>59</v>
      </c>
    </row>
    <row r="25" spans="1:13" ht="15.75" customHeight="1" x14ac:dyDescent="0.25">
      <c r="A25" s="30">
        <v>21</v>
      </c>
      <c r="B25" s="30">
        <v>13521081</v>
      </c>
      <c r="C25" s="31" t="s">
        <v>88</v>
      </c>
      <c r="D25" s="32" t="s">
        <v>7</v>
      </c>
      <c r="E25" s="47">
        <v>9</v>
      </c>
      <c r="F25" s="47">
        <v>12</v>
      </c>
      <c r="G25" s="47">
        <v>4</v>
      </c>
      <c r="H25" s="47">
        <v>10</v>
      </c>
      <c r="I25" s="47">
        <v>22</v>
      </c>
      <c r="J25" s="47">
        <v>6.5</v>
      </c>
      <c r="K25" s="47">
        <v>10</v>
      </c>
      <c r="L25" s="47">
        <v>13.5</v>
      </c>
      <c r="M25" s="48">
        <f t="shared" si="0"/>
        <v>87</v>
      </c>
    </row>
    <row r="26" spans="1:13" ht="15" x14ac:dyDescent="0.25">
      <c r="A26" s="30">
        <v>22</v>
      </c>
      <c r="B26" s="30">
        <v>13521083</v>
      </c>
      <c r="C26" s="31" t="s">
        <v>168</v>
      </c>
      <c r="D26" s="32" t="s">
        <v>7</v>
      </c>
      <c r="E26" s="47"/>
      <c r="F26" s="47">
        <v>8</v>
      </c>
      <c r="G26" s="47">
        <v>3</v>
      </c>
      <c r="H26" s="47">
        <v>10</v>
      </c>
      <c r="I26" s="47">
        <v>25</v>
      </c>
      <c r="J26" s="47">
        <v>10</v>
      </c>
      <c r="K26" s="47">
        <v>9</v>
      </c>
      <c r="L26" s="47">
        <v>14</v>
      </c>
      <c r="M26" s="48">
        <f t="shared" si="0"/>
        <v>79</v>
      </c>
    </row>
    <row r="27" spans="1:13" ht="15" x14ac:dyDescent="0.25">
      <c r="A27" s="30">
        <v>23</v>
      </c>
      <c r="B27" s="30">
        <v>13521085</v>
      </c>
      <c r="C27" s="31" t="s">
        <v>81</v>
      </c>
      <c r="D27" s="32" t="s">
        <v>7</v>
      </c>
      <c r="E27" s="47">
        <v>9</v>
      </c>
      <c r="F27" s="47">
        <v>8</v>
      </c>
      <c r="G27" s="47">
        <v>3</v>
      </c>
      <c r="H27" s="47">
        <v>10</v>
      </c>
      <c r="I27" s="47">
        <v>15</v>
      </c>
      <c r="J27" s="47">
        <v>10</v>
      </c>
      <c r="K27" s="47">
        <v>10</v>
      </c>
      <c r="L27" s="47">
        <v>14</v>
      </c>
      <c r="M27" s="48">
        <f t="shared" si="0"/>
        <v>79</v>
      </c>
    </row>
    <row r="28" spans="1:13" ht="15" x14ac:dyDescent="0.25">
      <c r="A28" s="30">
        <v>24</v>
      </c>
      <c r="B28" s="30">
        <v>13521087</v>
      </c>
      <c r="C28" s="31" t="s">
        <v>148</v>
      </c>
      <c r="D28" s="32" t="s">
        <v>7</v>
      </c>
      <c r="E28" s="47">
        <v>9</v>
      </c>
      <c r="F28" s="47">
        <v>2</v>
      </c>
      <c r="G28" s="47">
        <v>3</v>
      </c>
      <c r="H28" s="47">
        <v>10</v>
      </c>
      <c r="I28" s="47">
        <v>22</v>
      </c>
      <c r="J28" s="47">
        <v>10</v>
      </c>
      <c r="K28" s="47">
        <v>2</v>
      </c>
      <c r="L28" s="47">
        <v>11.5</v>
      </c>
      <c r="M28" s="48">
        <f t="shared" si="0"/>
        <v>69.5</v>
      </c>
    </row>
    <row r="29" spans="1:13" ht="15" x14ac:dyDescent="0.25">
      <c r="A29" s="30">
        <v>25</v>
      </c>
      <c r="B29" s="30">
        <v>13521089</v>
      </c>
      <c r="C29" s="31" t="s">
        <v>66</v>
      </c>
      <c r="D29" s="32" t="s">
        <v>7</v>
      </c>
      <c r="E29" s="47">
        <v>7</v>
      </c>
      <c r="F29" s="47">
        <v>15</v>
      </c>
      <c r="G29" s="47">
        <v>3</v>
      </c>
      <c r="H29" s="47">
        <v>10</v>
      </c>
      <c r="I29" s="47">
        <v>25</v>
      </c>
      <c r="J29" s="47">
        <v>10</v>
      </c>
      <c r="K29" s="47">
        <v>8</v>
      </c>
      <c r="L29" s="47">
        <v>10.5</v>
      </c>
      <c r="M29" s="48">
        <f t="shared" si="0"/>
        <v>88.5</v>
      </c>
    </row>
    <row r="30" spans="1:13" ht="15" x14ac:dyDescent="0.25">
      <c r="A30" s="30">
        <v>26</v>
      </c>
      <c r="B30" s="30">
        <v>13521091</v>
      </c>
      <c r="C30" s="31" t="s">
        <v>186</v>
      </c>
      <c r="D30" s="32" t="s">
        <v>7</v>
      </c>
      <c r="E30" s="47">
        <v>9</v>
      </c>
      <c r="F30" s="47">
        <v>2</v>
      </c>
      <c r="G30" s="47">
        <v>5</v>
      </c>
      <c r="H30" s="47">
        <v>10</v>
      </c>
      <c r="I30" s="47">
        <v>9</v>
      </c>
      <c r="J30" s="47">
        <v>10</v>
      </c>
      <c r="K30" s="47">
        <v>10</v>
      </c>
      <c r="L30" s="47">
        <v>13.5</v>
      </c>
      <c r="M30" s="48">
        <f t="shared" si="0"/>
        <v>68.5</v>
      </c>
    </row>
    <row r="31" spans="1:13" ht="15" x14ac:dyDescent="0.25">
      <c r="A31" s="30">
        <v>27</v>
      </c>
      <c r="B31" s="30">
        <v>13521093</v>
      </c>
      <c r="C31" s="31" t="s">
        <v>114</v>
      </c>
      <c r="D31" s="32" t="s">
        <v>7</v>
      </c>
      <c r="E31" s="47">
        <v>9</v>
      </c>
      <c r="F31" s="47">
        <v>14</v>
      </c>
      <c r="G31" s="47">
        <v>3</v>
      </c>
      <c r="H31" s="47">
        <v>10</v>
      </c>
      <c r="I31" s="47">
        <v>25</v>
      </c>
      <c r="J31" s="47">
        <v>10</v>
      </c>
      <c r="K31" s="47">
        <v>8</v>
      </c>
      <c r="L31" s="47">
        <v>8</v>
      </c>
      <c r="M31" s="48">
        <f t="shared" si="0"/>
        <v>87</v>
      </c>
    </row>
    <row r="32" spans="1:13" ht="15" x14ac:dyDescent="0.25">
      <c r="A32" s="30">
        <v>28</v>
      </c>
      <c r="B32" s="30">
        <v>13521095</v>
      </c>
      <c r="C32" s="31" t="s">
        <v>105</v>
      </c>
      <c r="D32" s="32" t="s">
        <v>7</v>
      </c>
      <c r="E32" s="47">
        <v>10</v>
      </c>
      <c r="F32" s="47">
        <v>15</v>
      </c>
      <c r="G32" s="47">
        <v>3</v>
      </c>
      <c r="H32" s="47">
        <v>10</v>
      </c>
      <c r="I32" s="47">
        <v>25</v>
      </c>
      <c r="J32" s="47">
        <v>5</v>
      </c>
      <c r="K32" s="47">
        <v>7</v>
      </c>
      <c r="L32" s="47">
        <v>13.5</v>
      </c>
      <c r="M32" s="48">
        <f t="shared" si="0"/>
        <v>88.5</v>
      </c>
    </row>
    <row r="33" spans="1:13" ht="15" x14ac:dyDescent="0.25">
      <c r="A33" s="30">
        <v>29</v>
      </c>
      <c r="B33" s="30">
        <v>13521097</v>
      </c>
      <c r="C33" s="31" t="s">
        <v>131</v>
      </c>
      <c r="D33" s="32" t="s">
        <v>7</v>
      </c>
      <c r="E33" s="47">
        <v>7</v>
      </c>
      <c r="F33" s="47">
        <v>12</v>
      </c>
      <c r="G33" s="47">
        <v>4</v>
      </c>
      <c r="H33" s="47">
        <v>10</v>
      </c>
      <c r="I33" s="47">
        <v>25</v>
      </c>
      <c r="J33" s="47">
        <v>10</v>
      </c>
      <c r="K33" s="47">
        <v>8.5</v>
      </c>
      <c r="L33" s="47">
        <v>10.5</v>
      </c>
      <c r="M33" s="48">
        <f t="shared" si="0"/>
        <v>87</v>
      </c>
    </row>
    <row r="34" spans="1:13" ht="15" x14ac:dyDescent="0.25">
      <c r="A34" s="30">
        <v>30</v>
      </c>
      <c r="B34" s="30">
        <v>13521099</v>
      </c>
      <c r="C34" s="31" t="s">
        <v>128</v>
      </c>
      <c r="D34" s="32" t="s">
        <v>7</v>
      </c>
      <c r="E34" s="47">
        <v>9</v>
      </c>
      <c r="F34" s="47">
        <v>2</v>
      </c>
      <c r="G34" s="47">
        <v>3</v>
      </c>
      <c r="H34" s="47">
        <v>5</v>
      </c>
      <c r="I34" s="47">
        <v>25</v>
      </c>
      <c r="J34" s="47">
        <v>7.5</v>
      </c>
      <c r="K34" s="47">
        <v>8</v>
      </c>
      <c r="L34" s="47">
        <v>13</v>
      </c>
      <c r="M34" s="48">
        <f t="shared" si="0"/>
        <v>72.5</v>
      </c>
    </row>
    <row r="35" spans="1:13" ht="15" x14ac:dyDescent="0.25">
      <c r="A35" s="30">
        <v>31</v>
      </c>
      <c r="B35" s="30">
        <v>13521101</v>
      </c>
      <c r="C35" s="31" t="s">
        <v>48</v>
      </c>
      <c r="D35" s="32" t="s">
        <v>7</v>
      </c>
      <c r="E35" s="47">
        <v>9</v>
      </c>
      <c r="F35" s="47">
        <v>13</v>
      </c>
      <c r="G35" s="47">
        <v>4</v>
      </c>
      <c r="H35" s="47">
        <v>10</v>
      </c>
      <c r="I35" s="47">
        <v>25</v>
      </c>
      <c r="J35" s="47">
        <v>10</v>
      </c>
      <c r="K35" s="47">
        <v>10</v>
      </c>
      <c r="L35" s="47">
        <v>14</v>
      </c>
      <c r="M35" s="48">
        <f t="shared" si="0"/>
        <v>95</v>
      </c>
    </row>
    <row r="36" spans="1:13" ht="15" x14ac:dyDescent="0.25">
      <c r="A36" s="30">
        <v>32</v>
      </c>
      <c r="B36" s="30">
        <v>13521103</v>
      </c>
      <c r="C36" s="31" t="s">
        <v>162</v>
      </c>
      <c r="D36" s="32" t="s">
        <v>7</v>
      </c>
      <c r="E36" s="47">
        <v>9</v>
      </c>
      <c r="F36" s="47">
        <v>12</v>
      </c>
      <c r="G36" s="47">
        <v>3</v>
      </c>
      <c r="H36" s="47">
        <v>10</v>
      </c>
      <c r="I36" s="47">
        <v>15</v>
      </c>
      <c r="J36" s="47">
        <v>5</v>
      </c>
      <c r="K36" s="47">
        <v>3</v>
      </c>
      <c r="L36" s="47">
        <v>10</v>
      </c>
      <c r="M36" s="48">
        <f t="shared" si="0"/>
        <v>67</v>
      </c>
    </row>
    <row r="37" spans="1:13" ht="15" x14ac:dyDescent="0.25">
      <c r="A37" s="30">
        <v>33</v>
      </c>
      <c r="B37" s="30">
        <v>13521105</v>
      </c>
      <c r="C37" s="31" t="s">
        <v>140</v>
      </c>
      <c r="D37" s="32" t="s">
        <v>7</v>
      </c>
      <c r="E37" s="47">
        <v>8</v>
      </c>
      <c r="F37" s="47">
        <v>4</v>
      </c>
      <c r="G37" s="47">
        <v>4</v>
      </c>
      <c r="H37" s="47">
        <v>10</v>
      </c>
      <c r="I37" s="47">
        <v>17</v>
      </c>
      <c r="J37" s="47">
        <v>10</v>
      </c>
      <c r="K37" s="47">
        <v>9</v>
      </c>
      <c r="L37" s="47">
        <v>11.5</v>
      </c>
      <c r="M37" s="48">
        <f t="shared" si="0"/>
        <v>73.5</v>
      </c>
    </row>
    <row r="38" spans="1:13" ht="15" x14ac:dyDescent="0.25">
      <c r="A38" s="30">
        <v>34</v>
      </c>
      <c r="B38" s="30">
        <v>13521107</v>
      </c>
      <c r="C38" s="31" t="s">
        <v>62</v>
      </c>
      <c r="D38" s="32" t="s">
        <v>7</v>
      </c>
      <c r="E38" s="47">
        <v>10</v>
      </c>
      <c r="F38" s="47">
        <v>15</v>
      </c>
      <c r="G38" s="47">
        <v>5</v>
      </c>
      <c r="H38" s="47">
        <v>10</v>
      </c>
      <c r="I38" s="47">
        <v>25</v>
      </c>
      <c r="J38" s="47">
        <v>10</v>
      </c>
      <c r="K38" s="47">
        <v>10</v>
      </c>
      <c r="L38" s="47">
        <v>15</v>
      </c>
      <c r="M38" s="48">
        <f t="shared" si="0"/>
        <v>100</v>
      </c>
    </row>
    <row r="39" spans="1:13" ht="15" x14ac:dyDescent="0.25">
      <c r="A39" s="30">
        <v>35</v>
      </c>
      <c r="B39" s="30">
        <v>13521109</v>
      </c>
      <c r="C39" s="31" t="s">
        <v>184</v>
      </c>
      <c r="D39" s="32" t="s">
        <v>7</v>
      </c>
      <c r="E39" s="47">
        <v>7</v>
      </c>
      <c r="F39" s="47">
        <v>2</v>
      </c>
      <c r="G39" s="47">
        <v>4</v>
      </c>
      <c r="H39" s="47">
        <v>5</v>
      </c>
      <c r="I39" s="47">
        <v>17</v>
      </c>
      <c r="J39" s="47">
        <v>7.5</v>
      </c>
      <c r="K39" s="47">
        <v>9</v>
      </c>
      <c r="L39" s="47">
        <v>12</v>
      </c>
      <c r="M39" s="48">
        <f t="shared" si="0"/>
        <v>63.5</v>
      </c>
    </row>
    <row r="40" spans="1:13" ht="15" x14ac:dyDescent="0.25">
      <c r="A40" s="30">
        <v>36</v>
      </c>
      <c r="B40" s="30">
        <v>13521111</v>
      </c>
      <c r="C40" s="31" t="s">
        <v>96</v>
      </c>
      <c r="D40" s="32" t="s">
        <v>7</v>
      </c>
      <c r="E40" s="47">
        <v>10</v>
      </c>
      <c r="F40" s="47">
        <v>14</v>
      </c>
      <c r="G40" s="47">
        <v>3</v>
      </c>
      <c r="H40" s="47">
        <v>10</v>
      </c>
      <c r="I40" s="47">
        <v>25</v>
      </c>
      <c r="J40" s="47">
        <v>7.5</v>
      </c>
      <c r="K40" s="47">
        <v>8</v>
      </c>
      <c r="L40" s="47">
        <v>8</v>
      </c>
      <c r="M40" s="48">
        <f t="shared" si="0"/>
        <v>85.5</v>
      </c>
    </row>
    <row r="41" spans="1:13" ht="15" x14ac:dyDescent="0.25">
      <c r="A41" s="30">
        <v>37</v>
      </c>
      <c r="B41" s="30">
        <v>13521115</v>
      </c>
      <c r="C41" s="31" t="s">
        <v>126</v>
      </c>
      <c r="D41" s="32" t="s">
        <v>7</v>
      </c>
      <c r="E41" s="47">
        <v>9</v>
      </c>
      <c r="F41" s="47">
        <v>14</v>
      </c>
      <c r="G41" s="47">
        <v>3</v>
      </c>
      <c r="H41" s="47">
        <v>10</v>
      </c>
      <c r="I41" s="47">
        <v>20</v>
      </c>
      <c r="J41" s="47">
        <v>7.5</v>
      </c>
      <c r="K41" s="47">
        <v>10</v>
      </c>
      <c r="L41" s="47">
        <v>9.5</v>
      </c>
      <c r="M41" s="48">
        <f t="shared" si="0"/>
        <v>83</v>
      </c>
    </row>
    <row r="42" spans="1:13" ht="15" x14ac:dyDescent="0.25">
      <c r="A42" s="30">
        <v>38</v>
      </c>
      <c r="B42" s="30">
        <v>13521117</v>
      </c>
      <c r="C42" s="31" t="s">
        <v>207</v>
      </c>
      <c r="D42" s="32" t="s">
        <v>7</v>
      </c>
      <c r="E42" s="47">
        <v>2</v>
      </c>
      <c r="F42" s="47">
        <v>9</v>
      </c>
      <c r="G42" s="47">
        <v>3</v>
      </c>
      <c r="H42" s="47">
        <v>0</v>
      </c>
      <c r="I42" s="47">
        <v>7</v>
      </c>
      <c r="J42" s="47">
        <v>1</v>
      </c>
      <c r="K42" s="47">
        <v>9.5</v>
      </c>
      <c r="L42" s="47">
        <v>6</v>
      </c>
      <c r="M42" s="48">
        <f t="shared" si="0"/>
        <v>37.5</v>
      </c>
    </row>
    <row r="43" spans="1:13" ht="15" x14ac:dyDescent="0.25">
      <c r="A43" s="30">
        <v>39</v>
      </c>
      <c r="B43" s="30">
        <v>13521119</v>
      </c>
      <c r="C43" s="31" t="s">
        <v>101</v>
      </c>
      <c r="D43" s="32" t="s">
        <v>7</v>
      </c>
      <c r="E43" s="47">
        <v>10</v>
      </c>
      <c r="F43" s="47">
        <v>8</v>
      </c>
      <c r="G43" s="47">
        <v>4</v>
      </c>
      <c r="H43" s="47">
        <v>10</v>
      </c>
      <c r="I43" s="47">
        <v>25</v>
      </c>
      <c r="J43" s="47">
        <v>5</v>
      </c>
      <c r="K43" s="47">
        <v>10</v>
      </c>
      <c r="L43" s="47">
        <v>8.5</v>
      </c>
      <c r="M43" s="48">
        <f t="shared" si="0"/>
        <v>80.5</v>
      </c>
    </row>
    <row r="44" spans="1:13" ht="15" x14ac:dyDescent="0.25">
      <c r="A44" s="30">
        <v>40</v>
      </c>
      <c r="B44" s="30">
        <v>13521121</v>
      </c>
      <c r="C44" s="31" t="s">
        <v>141</v>
      </c>
      <c r="D44" s="32" t="s">
        <v>7</v>
      </c>
      <c r="E44" s="47">
        <v>9</v>
      </c>
      <c r="F44" s="47">
        <v>15</v>
      </c>
      <c r="G44" s="47">
        <v>4</v>
      </c>
      <c r="H44" s="47">
        <v>10</v>
      </c>
      <c r="I44" s="47">
        <v>17</v>
      </c>
      <c r="J44" s="47">
        <v>7.5</v>
      </c>
      <c r="K44" s="47">
        <v>8.5</v>
      </c>
      <c r="L44" s="47">
        <v>12</v>
      </c>
      <c r="M44" s="48">
        <f t="shared" si="0"/>
        <v>83</v>
      </c>
    </row>
    <row r="45" spans="1:13" ht="15" x14ac:dyDescent="0.25">
      <c r="A45" s="30">
        <v>41</v>
      </c>
      <c r="B45" s="30">
        <v>13521123</v>
      </c>
      <c r="C45" s="31" t="s">
        <v>43</v>
      </c>
      <c r="D45" s="32" t="s">
        <v>7</v>
      </c>
      <c r="E45" s="47">
        <v>10</v>
      </c>
      <c r="F45" s="47">
        <v>8</v>
      </c>
      <c r="G45" s="47">
        <v>4</v>
      </c>
      <c r="H45" s="47">
        <v>15</v>
      </c>
      <c r="I45" s="47">
        <v>22</v>
      </c>
      <c r="J45" s="47">
        <v>10</v>
      </c>
      <c r="K45" s="47">
        <v>10</v>
      </c>
      <c r="L45" s="47">
        <v>15</v>
      </c>
      <c r="M45" s="48">
        <f t="shared" si="0"/>
        <v>94</v>
      </c>
    </row>
    <row r="46" spans="1:13" ht="15" x14ac:dyDescent="0.25">
      <c r="A46" s="30">
        <v>42</v>
      </c>
      <c r="B46" s="30">
        <v>13521125</v>
      </c>
      <c r="C46" s="31" t="s">
        <v>204</v>
      </c>
      <c r="D46" s="32" t="s">
        <v>7</v>
      </c>
      <c r="E46" s="47">
        <v>2</v>
      </c>
      <c r="F46" s="47">
        <v>12</v>
      </c>
      <c r="G46" s="47">
        <v>3</v>
      </c>
      <c r="H46" s="47">
        <v>0</v>
      </c>
      <c r="I46" s="47">
        <v>2</v>
      </c>
      <c r="J46" s="47">
        <v>7.5</v>
      </c>
      <c r="K46" s="47">
        <v>10</v>
      </c>
      <c r="L46" s="47">
        <v>6.5</v>
      </c>
      <c r="M46" s="48">
        <f t="shared" si="0"/>
        <v>43</v>
      </c>
    </row>
    <row r="47" spans="1:13" ht="15" x14ac:dyDescent="0.25">
      <c r="A47" s="30">
        <v>43</v>
      </c>
      <c r="B47" s="30">
        <v>13521127</v>
      </c>
      <c r="C47" s="31" t="s">
        <v>71</v>
      </c>
      <c r="D47" s="32" t="s">
        <v>7</v>
      </c>
      <c r="E47" s="47">
        <v>10</v>
      </c>
      <c r="F47" s="47">
        <v>15</v>
      </c>
      <c r="G47" s="47">
        <v>3</v>
      </c>
      <c r="H47" s="47">
        <v>10</v>
      </c>
      <c r="I47" s="47">
        <v>25</v>
      </c>
      <c r="J47" s="47">
        <v>10</v>
      </c>
      <c r="K47" s="47">
        <v>10</v>
      </c>
      <c r="L47" s="47">
        <v>7.5</v>
      </c>
      <c r="M47" s="48">
        <f t="shared" si="0"/>
        <v>90.5</v>
      </c>
    </row>
    <row r="48" spans="1:13" ht="15" x14ac:dyDescent="0.25">
      <c r="A48" s="30">
        <v>44</v>
      </c>
      <c r="B48" s="30">
        <v>13521129</v>
      </c>
      <c r="C48" s="31" t="s">
        <v>70</v>
      </c>
      <c r="D48" s="32" t="s">
        <v>7</v>
      </c>
      <c r="E48" s="47">
        <v>9</v>
      </c>
      <c r="F48" s="47">
        <v>15</v>
      </c>
      <c r="G48" s="47">
        <v>3</v>
      </c>
      <c r="H48" s="47">
        <v>10</v>
      </c>
      <c r="I48" s="47">
        <v>25</v>
      </c>
      <c r="J48" s="47">
        <v>10</v>
      </c>
      <c r="K48" s="47">
        <v>10</v>
      </c>
      <c r="L48" s="47">
        <v>13</v>
      </c>
      <c r="M48" s="48">
        <f t="shared" si="0"/>
        <v>95</v>
      </c>
    </row>
    <row r="49" spans="1:13" ht="15" x14ac:dyDescent="0.25">
      <c r="A49" s="30">
        <v>45</v>
      </c>
      <c r="B49" s="30">
        <v>13521131</v>
      </c>
      <c r="C49" s="31" t="s">
        <v>155</v>
      </c>
      <c r="D49" s="32" t="s">
        <v>7</v>
      </c>
      <c r="E49" s="47">
        <v>9</v>
      </c>
      <c r="F49" s="47">
        <v>2</v>
      </c>
      <c r="G49" s="47">
        <v>4</v>
      </c>
      <c r="H49" s="47">
        <v>10</v>
      </c>
      <c r="I49" s="47">
        <v>25</v>
      </c>
      <c r="J49" s="47">
        <v>10</v>
      </c>
      <c r="K49" s="47">
        <v>10</v>
      </c>
      <c r="L49" s="47">
        <v>8</v>
      </c>
      <c r="M49" s="48">
        <f t="shared" si="0"/>
        <v>78</v>
      </c>
    </row>
    <row r="50" spans="1:13" ht="15" x14ac:dyDescent="0.25">
      <c r="A50" s="30">
        <v>46</v>
      </c>
      <c r="B50" s="30">
        <v>13521133</v>
      </c>
      <c r="C50" s="31" t="s">
        <v>192</v>
      </c>
      <c r="D50" s="32" t="s">
        <v>7</v>
      </c>
      <c r="E50" s="47">
        <v>7</v>
      </c>
      <c r="F50" s="47">
        <v>10</v>
      </c>
      <c r="G50" s="47">
        <v>3</v>
      </c>
      <c r="H50" s="47">
        <v>5</v>
      </c>
      <c r="I50" s="47">
        <v>17</v>
      </c>
      <c r="J50" s="47">
        <v>5</v>
      </c>
      <c r="K50" s="47">
        <v>8</v>
      </c>
      <c r="L50" s="47">
        <v>8</v>
      </c>
      <c r="M50" s="48">
        <f t="shared" si="0"/>
        <v>63</v>
      </c>
    </row>
    <row r="51" spans="1:13" ht="15" x14ac:dyDescent="0.25">
      <c r="A51" s="30">
        <v>47</v>
      </c>
      <c r="B51" s="30">
        <v>13521135</v>
      </c>
      <c r="C51" s="31" t="s">
        <v>69</v>
      </c>
      <c r="D51" s="32" t="s">
        <v>7</v>
      </c>
      <c r="E51" s="47">
        <v>9</v>
      </c>
      <c r="F51" s="47">
        <v>12</v>
      </c>
      <c r="G51" s="47">
        <v>5</v>
      </c>
      <c r="H51" s="47">
        <v>10</v>
      </c>
      <c r="I51" s="47">
        <v>22</v>
      </c>
      <c r="J51" s="47">
        <v>7.5</v>
      </c>
      <c r="K51" s="47">
        <v>8.5</v>
      </c>
      <c r="L51" s="47">
        <v>14</v>
      </c>
      <c r="M51" s="48">
        <f t="shared" si="0"/>
        <v>88</v>
      </c>
    </row>
    <row r="52" spans="1:13" ht="15" x14ac:dyDescent="0.25">
      <c r="A52" s="30">
        <v>48</v>
      </c>
      <c r="B52" s="30">
        <v>13521137</v>
      </c>
      <c r="C52" s="31" t="s">
        <v>46</v>
      </c>
      <c r="D52" s="32" t="s">
        <v>7</v>
      </c>
      <c r="E52" s="47">
        <v>10</v>
      </c>
      <c r="F52" s="47">
        <v>14</v>
      </c>
      <c r="G52" s="47">
        <v>5</v>
      </c>
      <c r="H52" s="47">
        <v>10</v>
      </c>
      <c r="I52" s="47">
        <v>25</v>
      </c>
      <c r="J52" s="47">
        <v>10</v>
      </c>
      <c r="K52" s="47">
        <v>10</v>
      </c>
      <c r="L52" s="47">
        <v>14</v>
      </c>
      <c r="M52" s="48">
        <f t="shared" si="0"/>
        <v>98</v>
      </c>
    </row>
    <row r="53" spans="1:13" ht="15" x14ac:dyDescent="0.25">
      <c r="A53" s="30">
        <v>49</v>
      </c>
      <c r="B53" s="30">
        <v>13521139</v>
      </c>
      <c r="C53" s="31" t="s">
        <v>85</v>
      </c>
      <c r="D53" s="32" t="s">
        <v>7</v>
      </c>
      <c r="E53" s="47">
        <v>9</v>
      </c>
      <c r="F53" s="47">
        <v>2</v>
      </c>
      <c r="G53" s="47">
        <v>5</v>
      </c>
      <c r="H53" s="47">
        <v>10</v>
      </c>
      <c r="I53" s="47">
        <v>20</v>
      </c>
      <c r="J53" s="47">
        <v>7.5</v>
      </c>
      <c r="K53" s="47">
        <v>10</v>
      </c>
      <c r="L53" s="47">
        <v>10</v>
      </c>
      <c r="M53" s="48">
        <f t="shared" si="0"/>
        <v>73.5</v>
      </c>
    </row>
    <row r="54" spans="1:13" ht="15" x14ac:dyDescent="0.25">
      <c r="A54" s="30">
        <v>50</v>
      </c>
      <c r="B54" s="30">
        <v>13521141</v>
      </c>
      <c r="C54" s="31" t="s">
        <v>196</v>
      </c>
      <c r="D54" s="32" t="s">
        <v>7</v>
      </c>
      <c r="E54" s="47">
        <v>9</v>
      </c>
      <c r="F54" s="47">
        <v>2</v>
      </c>
      <c r="G54" s="47">
        <v>4</v>
      </c>
      <c r="H54" s="47">
        <v>10</v>
      </c>
      <c r="I54" s="47">
        <v>25</v>
      </c>
      <c r="J54" s="47">
        <v>10</v>
      </c>
      <c r="K54" s="47">
        <v>2</v>
      </c>
      <c r="L54" s="47">
        <v>3.5</v>
      </c>
      <c r="M54" s="48">
        <f t="shared" si="0"/>
        <v>65.5</v>
      </c>
    </row>
    <row r="55" spans="1:13" ht="15" x14ac:dyDescent="0.25">
      <c r="A55" s="30">
        <v>51</v>
      </c>
      <c r="B55" s="30">
        <v>13521143</v>
      </c>
      <c r="C55" s="31" t="s">
        <v>103</v>
      </c>
      <c r="D55" s="32" t="s">
        <v>7</v>
      </c>
      <c r="E55" s="47">
        <v>10</v>
      </c>
      <c r="F55" s="47">
        <v>10</v>
      </c>
      <c r="G55" s="47">
        <v>3</v>
      </c>
      <c r="H55" s="47">
        <v>10</v>
      </c>
      <c r="I55" s="47">
        <v>25</v>
      </c>
      <c r="J55" s="47">
        <v>10</v>
      </c>
      <c r="K55" s="47">
        <v>9.5</v>
      </c>
      <c r="L55" s="47">
        <v>9.5</v>
      </c>
      <c r="M55" s="48">
        <f t="shared" si="0"/>
        <v>87</v>
      </c>
    </row>
    <row r="56" spans="1:13" ht="15" x14ac:dyDescent="0.25">
      <c r="A56" s="30">
        <v>52</v>
      </c>
      <c r="B56" s="30">
        <v>13521145</v>
      </c>
      <c r="C56" s="31" t="s">
        <v>144</v>
      </c>
      <c r="D56" s="32" t="s">
        <v>7</v>
      </c>
      <c r="E56" s="47">
        <v>9</v>
      </c>
      <c r="F56" s="47">
        <v>2</v>
      </c>
      <c r="G56" s="47">
        <v>3</v>
      </c>
      <c r="H56" s="47">
        <v>10</v>
      </c>
      <c r="I56" s="47">
        <v>25</v>
      </c>
      <c r="J56" s="47">
        <v>7.5</v>
      </c>
      <c r="K56" s="47">
        <v>7.5</v>
      </c>
      <c r="L56" s="47">
        <v>10</v>
      </c>
      <c r="M56" s="48">
        <f t="shared" si="0"/>
        <v>74</v>
      </c>
    </row>
    <row r="57" spans="1:13" ht="15" x14ac:dyDescent="0.25">
      <c r="A57" s="30">
        <v>53</v>
      </c>
      <c r="B57" s="30">
        <v>13521149</v>
      </c>
      <c r="C57" s="31" t="s">
        <v>61</v>
      </c>
      <c r="D57" s="32" t="s">
        <v>7</v>
      </c>
      <c r="E57" s="47">
        <v>10</v>
      </c>
      <c r="F57" s="47">
        <v>8</v>
      </c>
      <c r="G57" s="47">
        <v>3</v>
      </c>
      <c r="H57" s="47">
        <v>10</v>
      </c>
      <c r="I57" s="47">
        <v>25</v>
      </c>
      <c r="J57" s="47">
        <v>10</v>
      </c>
      <c r="K57" s="47">
        <v>10</v>
      </c>
      <c r="L57" s="47">
        <v>14</v>
      </c>
      <c r="M57" s="48">
        <f t="shared" si="0"/>
        <v>90</v>
      </c>
    </row>
    <row r="58" spans="1:13" ht="15" x14ac:dyDescent="0.25">
      <c r="A58" s="30">
        <v>54</v>
      </c>
      <c r="B58" s="30">
        <v>13521151</v>
      </c>
      <c r="C58" s="31" t="s">
        <v>183</v>
      </c>
      <c r="D58" s="32" t="s">
        <v>7</v>
      </c>
      <c r="E58" s="47">
        <v>7</v>
      </c>
      <c r="F58" s="47">
        <v>8</v>
      </c>
      <c r="G58" s="47">
        <v>3</v>
      </c>
      <c r="H58" s="47">
        <v>5</v>
      </c>
      <c r="I58" s="47">
        <v>2</v>
      </c>
      <c r="J58" s="47">
        <v>7.5</v>
      </c>
      <c r="K58" s="47">
        <v>1</v>
      </c>
      <c r="L58" s="47">
        <v>12</v>
      </c>
      <c r="M58" s="48">
        <f t="shared" si="0"/>
        <v>45.5</v>
      </c>
    </row>
    <row r="59" spans="1:13" ht="15" x14ac:dyDescent="0.25">
      <c r="A59" s="30">
        <v>55</v>
      </c>
      <c r="B59" s="30">
        <v>13521153</v>
      </c>
      <c r="C59" s="31" t="s">
        <v>45</v>
      </c>
      <c r="D59" s="32" t="s">
        <v>7</v>
      </c>
      <c r="E59" s="47">
        <v>9</v>
      </c>
      <c r="F59" s="47">
        <v>14</v>
      </c>
      <c r="G59" s="47">
        <v>3</v>
      </c>
      <c r="H59" s="47">
        <v>10</v>
      </c>
      <c r="I59" s="47">
        <v>25</v>
      </c>
      <c r="J59" s="47">
        <v>7.5</v>
      </c>
      <c r="K59" s="47">
        <v>8.5</v>
      </c>
      <c r="L59" s="47">
        <v>14</v>
      </c>
      <c r="M59" s="48">
        <f t="shared" si="0"/>
        <v>91</v>
      </c>
    </row>
    <row r="60" spans="1:13" ht="15" x14ac:dyDescent="0.25">
      <c r="A60" s="30">
        <v>56</v>
      </c>
      <c r="B60" s="30">
        <v>13521155</v>
      </c>
      <c r="C60" s="31" t="s">
        <v>116</v>
      </c>
      <c r="D60" s="32" t="s">
        <v>7</v>
      </c>
      <c r="E60" s="47">
        <v>9</v>
      </c>
      <c r="F60" s="47">
        <v>13</v>
      </c>
      <c r="G60" s="47">
        <v>3</v>
      </c>
      <c r="H60" s="47">
        <v>0</v>
      </c>
      <c r="I60" s="47">
        <v>25</v>
      </c>
      <c r="J60" s="47">
        <v>7.5</v>
      </c>
      <c r="K60" s="47">
        <v>8</v>
      </c>
      <c r="L60" s="47">
        <v>14</v>
      </c>
      <c r="M60" s="48">
        <f t="shared" si="0"/>
        <v>79.5</v>
      </c>
    </row>
    <row r="61" spans="1:13" ht="15" x14ac:dyDescent="0.25">
      <c r="A61" s="30">
        <v>57</v>
      </c>
      <c r="B61" s="30">
        <v>13521157</v>
      </c>
      <c r="C61" s="31" t="s">
        <v>160</v>
      </c>
      <c r="D61" s="32" t="s">
        <v>7</v>
      </c>
      <c r="E61" s="47">
        <v>9</v>
      </c>
      <c r="F61" s="47">
        <v>15</v>
      </c>
      <c r="G61" s="47">
        <v>4</v>
      </c>
      <c r="H61" s="47">
        <v>10</v>
      </c>
      <c r="I61" s="47">
        <v>20</v>
      </c>
      <c r="J61" s="47">
        <v>7.5</v>
      </c>
      <c r="K61" s="47">
        <v>10</v>
      </c>
      <c r="L61" s="47">
        <v>14</v>
      </c>
      <c r="M61" s="48">
        <f t="shared" si="0"/>
        <v>89.5</v>
      </c>
    </row>
    <row r="62" spans="1:13" ht="15" x14ac:dyDescent="0.25">
      <c r="A62" s="30">
        <v>58</v>
      </c>
      <c r="B62" s="30">
        <v>13521159</v>
      </c>
      <c r="C62" s="31" t="s">
        <v>98</v>
      </c>
      <c r="D62" s="32" t="s">
        <v>7</v>
      </c>
      <c r="E62" s="47">
        <v>9</v>
      </c>
      <c r="F62" s="47">
        <v>12</v>
      </c>
      <c r="G62" s="47">
        <v>3</v>
      </c>
      <c r="H62" s="47">
        <v>10</v>
      </c>
      <c r="I62" s="47">
        <v>25</v>
      </c>
      <c r="J62" s="47">
        <v>10</v>
      </c>
      <c r="K62" s="47">
        <v>8.5</v>
      </c>
      <c r="L62" s="47">
        <v>10</v>
      </c>
      <c r="M62" s="48">
        <f t="shared" si="0"/>
        <v>87.5</v>
      </c>
    </row>
    <row r="63" spans="1:13" ht="15" x14ac:dyDescent="0.25">
      <c r="A63" s="30">
        <v>59</v>
      </c>
      <c r="B63" s="30">
        <v>13521161</v>
      </c>
      <c r="C63" s="31" t="s">
        <v>199</v>
      </c>
      <c r="D63" s="32" t="s">
        <v>7</v>
      </c>
      <c r="E63" s="47">
        <v>3.5</v>
      </c>
      <c r="F63" s="47">
        <v>7</v>
      </c>
      <c r="G63" s="47">
        <v>3.5</v>
      </c>
      <c r="H63" s="47">
        <v>10</v>
      </c>
      <c r="I63" s="47">
        <v>12</v>
      </c>
      <c r="J63" s="47">
        <v>5.5</v>
      </c>
      <c r="K63" s="47">
        <v>6</v>
      </c>
      <c r="L63" s="47">
        <v>2.5</v>
      </c>
      <c r="M63" s="48">
        <f t="shared" si="0"/>
        <v>50</v>
      </c>
    </row>
    <row r="64" spans="1:13" ht="15" x14ac:dyDescent="0.25">
      <c r="A64" s="30">
        <v>60</v>
      </c>
      <c r="B64" s="30">
        <v>13521163</v>
      </c>
      <c r="C64" s="31" t="s">
        <v>124</v>
      </c>
      <c r="D64" s="32" t="s">
        <v>7</v>
      </c>
      <c r="E64" s="47">
        <v>6</v>
      </c>
      <c r="F64" s="47">
        <v>8</v>
      </c>
      <c r="G64" s="47">
        <v>4</v>
      </c>
      <c r="H64" s="47">
        <v>10</v>
      </c>
      <c r="I64" s="47">
        <v>25</v>
      </c>
      <c r="J64" s="47">
        <v>10</v>
      </c>
      <c r="K64" s="47">
        <v>10</v>
      </c>
      <c r="L64" s="47">
        <v>12.5</v>
      </c>
      <c r="M64" s="48">
        <f t="shared" si="0"/>
        <v>85.5</v>
      </c>
    </row>
    <row r="65" spans="1:14" ht="15" x14ac:dyDescent="0.25">
      <c r="A65" s="30">
        <v>61</v>
      </c>
      <c r="B65" s="30">
        <v>13521165</v>
      </c>
      <c r="C65" s="31" t="s">
        <v>164</v>
      </c>
      <c r="D65" s="32" t="s">
        <v>7</v>
      </c>
      <c r="E65" s="47">
        <v>9</v>
      </c>
      <c r="F65" s="47">
        <v>7</v>
      </c>
      <c r="G65" s="47">
        <v>4.5</v>
      </c>
      <c r="H65" s="47">
        <v>10</v>
      </c>
      <c r="I65" s="47">
        <v>5</v>
      </c>
      <c r="J65" s="47">
        <v>9</v>
      </c>
      <c r="K65" s="47">
        <v>10</v>
      </c>
      <c r="L65" s="47">
        <v>13.5</v>
      </c>
      <c r="M65" s="48">
        <f t="shared" si="0"/>
        <v>68</v>
      </c>
    </row>
    <row r="66" spans="1:14" ht="15" x14ac:dyDescent="0.25">
      <c r="A66" s="30">
        <v>62</v>
      </c>
      <c r="B66" s="30">
        <v>13521167</v>
      </c>
      <c r="C66" s="31" t="s">
        <v>208</v>
      </c>
      <c r="D66" s="32" t="s">
        <v>7</v>
      </c>
      <c r="E66" s="47">
        <v>4.5</v>
      </c>
      <c r="F66" s="47">
        <v>2</v>
      </c>
      <c r="G66" s="47">
        <v>1</v>
      </c>
      <c r="H66" s="47">
        <v>0</v>
      </c>
      <c r="I66" s="47">
        <v>0</v>
      </c>
      <c r="J66" s="47">
        <v>5.5</v>
      </c>
      <c r="K66" s="47">
        <v>4</v>
      </c>
      <c r="L66" s="47">
        <v>3.5</v>
      </c>
      <c r="M66" s="48">
        <f t="shared" si="0"/>
        <v>20.5</v>
      </c>
    </row>
    <row r="67" spans="1:14" ht="15" x14ac:dyDescent="0.25">
      <c r="A67" s="30">
        <v>63</v>
      </c>
      <c r="B67" s="30">
        <v>13521169</v>
      </c>
      <c r="C67" s="31" t="s">
        <v>97</v>
      </c>
      <c r="D67" s="32" t="s">
        <v>7</v>
      </c>
      <c r="E67" s="47">
        <v>9</v>
      </c>
      <c r="F67" s="47">
        <v>18</v>
      </c>
      <c r="G67" s="47">
        <v>3</v>
      </c>
      <c r="H67" s="47">
        <v>5</v>
      </c>
      <c r="I67" s="47">
        <v>20</v>
      </c>
      <c r="J67" s="47">
        <v>10</v>
      </c>
      <c r="K67" s="47">
        <v>10</v>
      </c>
      <c r="L67" s="47">
        <v>13</v>
      </c>
      <c r="M67" s="48">
        <f t="shared" si="0"/>
        <v>88</v>
      </c>
    </row>
    <row r="68" spans="1:14" ht="15" x14ac:dyDescent="0.25">
      <c r="A68" s="30">
        <v>64</v>
      </c>
      <c r="B68" s="30">
        <v>13521171</v>
      </c>
      <c r="C68" s="31" t="s">
        <v>84</v>
      </c>
      <c r="D68" s="32" t="s">
        <v>7</v>
      </c>
      <c r="E68" s="47">
        <v>7</v>
      </c>
      <c r="F68" s="47">
        <v>2</v>
      </c>
      <c r="G68" s="47">
        <v>3</v>
      </c>
      <c r="H68" s="47">
        <v>10</v>
      </c>
      <c r="I68" s="47">
        <v>25</v>
      </c>
      <c r="J68" s="47">
        <v>7.5</v>
      </c>
      <c r="K68" s="47">
        <v>10</v>
      </c>
      <c r="L68" s="47">
        <v>14</v>
      </c>
      <c r="M68" s="48">
        <f t="shared" si="0"/>
        <v>78.5</v>
      </c>
    </row>
    <row r="69" spans="1:14" ht="15" x14ac:dyDescent="0.25">
      <c r="A69" s="30">
        <v>65</v>
      </c>
      <c r="B69" s="30">
        <v>13521173</v>
      </c>
      <c r="C69" s="31" t="s">
        <v>95</v>
      </c>
      <c r="D69" s="32" t="s">
        <v>7</v>
      </c>
      <c r="E69" s="47">
        <v>10</v>
      </c>
      <c r="F69" s="47">
        <v>8</v>
      </c>
      <c r="G69" s="47">
        <v>4</v>
      </c>
      <c r="H69" s="47">
        <v>10</v>
      </c>
      <c r="I69" s="47">
        <v>25</v>
      </c>
      <c r="J69" s="47">
        <v>7.5</v>
      </c>
      <c r="K69" s="47">
        <v>10</v>
      </c>
      <c r="L69" s="47">
        <v>14</v>
      </c>
      <c r="M69" s="48">
        <f t="shared" si="0"/>
        <v>88.5</v>
      </c>
      <c r="N69" s="46">
        <f>AVERAGE(M5:M69)</f>
        <v>75.784615384615378</v>
      </c>
    </row>
    <row r="70" spans="1:14" ht="15" x14ac:dyDescent="0.25">
      <c r="A70" s="30">
        <v>1</v>
      </c>
      <c r="B70" s="30">
        <v>13518134</v>
      </c>
      <c r="C70" s="31" t="s">
        <v>202</v>
      </c>
      <c r="D70" s="32" t="s">
        <v>8</v>
      </c>
      <c r="E70" s="47">
        <v>3</v>
      </c>
      <c r="F70" s="47">
        <v>15</v>
      </c>
      <c r="G70" s="47">
        <v>3</v>
      </c>
      <c r="H70" s="47">
        <v>8</v>
      </c>
      <c r="I70" s="47">
        <v>4.5</v>
      </c>
      <c r="J70" s="47">
        <v>7.5</v>
      </c>
      <c r="K70" s="47">
        <v>8.5</v>
      </c>
      <c r="L70" s="47">
        <v>13</v>
      </c>
      <c r="M70" s="48">
        <f t="shared" si="0"/>
        <v>62.5</v>
      </c>
    </row>
    <row r="71" spans="1:14" ht="15" x14ac:dyDescent="0.25">
      <c r="A71" s="30">
        <v>2</v>
      </c>
      <c r="B71" s="30">
        <v>13521042</v>
      </c>
      <c r="C71" s="31" t="s">
        <v>80</v>
      </c>
      <c r="D71" s="32" t="s">
        <v>8</v>
      </c>
      <c r="E71" s="47">
        <v>10</v>
      </c>
      <c r="F71" s="47">
        <v>8</v>
      </c>
      <c r="G71" s="47">
        <v>4</v>
      </c>
      <c r="H71" s="47">
        <v>10</v>
      </c>
      <c r="I71" s="47">
        <v>25</v>
      </c>
      <c r="J71" s="47">
        <v>10</v>
      </c>
      <c r="K71" s="47">
        <v>10</v>
      </c>
      <c r="L71" s="47">
        <v>14</v>
      </c>
      <c r="M71" s="48">
        <f t="shared" si="0"/>
        <v>91</v>
      </c>
    </row>
    <row r="72" spans="1:14" ht="15" x14ac:dyDescent="0.25">
      <c r="A72" s="30">
        <v>3</v>
      </c>
      <c r="B72" s="30">
        <v>13521044</v>
      </c>
      <c r="C72" s="31" t="s">
        <v>78</v>
      </c>
      <c r="D72" s="32" t="s">
        <v>8</v>
      </c>
      <c r="E72" s="47">
        <v>10</v>
      </c>
      <c r="F72" s="47">
        <v>8</v>
      </c>
      <c r="G72" s="47">
        <v>4</v>
      </c>
      <c r="H72" s="47">
        <v>10</v>
      </c>
      <c r="I72" s="47">
        <v>25</v>
      </c>
      <c r="J72" s="47">
        <v>7.5</v>
      </c>
      <c r="K72" s="47">
        <v>6</v>
      </c>
      <c r="L72" s="47">
        <v>14.5</v>
      </c>
      <c r="M72" s="48">
        <f t="shared" si="0"/>
        <v>85</v>
      </c>
    </row>
    <row r="73" spans="1:14" ht="15" x14ac:dyDescent="0.25">
      <c r="A73" s="30">
        <v>4</v>
      </c>
      <c r="B73" s="30">
        <v>13521046</v>
      </c>
      <c r="C73" s="31" t="s">
        <v>47</v>
      </c>
      <c r="D73" s="32" t="s">
        <v>8</v>
      </c>
      <c r="E73" s="47">
        <v>10</v>
      </c>
      <c r="F73" s="47">
        <v>15</v>
      </c>
      <c r="G73" s="47">
        <v>3</v>
      </c>
      <c r="H73" s="47">
        <v>10</v>
      </c>
      <c r="I73" s="47">
        <v>25</v>
      </c>
      <c r="J73" s="47">
        <v>7.5</v>
      </c>
      <c r="K73" s="47">
        <v>10</v>
      </c>
      <c r="L73" s="47">
        <v>13.5</v>
      </c>
      <c r="M73" s="48">
        <f t="shared" si="0"/>
        <v>94</v>
      </c>
    </row>
    <row r="74" spans="1:14" ht="15" x14ac:dyDescent="0.25">
      <c r="A74" s="30">
        <v>5</v>
      </c>
      <c r="B74" s="30">
        <v>13521048</v>
      </c>
      <c r="C74" s="31" t="s">
        <v>173</v>
      </c>
      <c r="D74" s="32" t="s">
        <v>8</v>
      </c>
      <c r="E74" s="47">
        <v>7</v>
      </c>
      <c r="F74" s="47">
        <v>2</v>
      </c>
      <c r="G74" s="47">
        <v>4</v>
      </c>
      <c r="H74" s="47">
        <v>10</v>
      </c>
      <c r="I74" s="47">
        <v>2</v>
      </c>
      <c r="J74" s="47">
        <v>10</v>
      </c>
      <c r="K74" s="47">
        <v>8.5</v>
      </c>
      <c r="L74" s="47">
        <v>2.5</v>
      </c>
      <c r="M74" s="48">
        <f t="shared" si="0"/>
        <v>46</v>
      </c>
    </row>
    <row r="75" spans="1:14" ht="15" x14ac:dyDescent="0.25">
      <c r="A75" s="30">
        <v>6</v>
      </c>
      <c r="B75" s="30">
        <v>13521050</v>
      </c>
      <c r="C75" s="31" t="s">
        <v>201</v>
      </c>
      <c r="D75" s="32" t="s">
        <v>8</v>
      </c>
      <c r="E75" s="47">
        <v>2.5</v>
      </c>
      <c r="F75" s="47">
        <v>2</v>
      </c>
      <c r="G75" s="47">
        <v>3</v>
      </c>
      <c r="H75" s="47">
        <v>3</v>
      </c>
      <c r="I75" s="47">
        <v>11</v>
      </c>
      <c r="J75" s="47">
        <v>5</v>
      </c>
      <c r="K75" s="47">
        <v>7</v>
      </c>
      <c r="L75" s="47">
        <v>11.5</v>
      </c>
      <c r="M75" s="48">
        <f t="shared" si="0"/>
        <v>45</v>
      </c>
    </row>
    <row r="76" spans="1:14" ht="15" x14ac:dyDescent="0.25">
      <c r="A76" s="30">
        <v>7</v>
      </c>
      <c r="B76" s="30">
        <v>13521052</v>
      </c>
      <c r="C76" s="31" t="s">
        <v>64</v>
      </c>
      <c r="D76" s="32" t="s">
        <v>8</v>
      </c>
      <c r="E76" s="47">
        <v>9</v>
      </c>
      <c r="F76" s="47">
        <v>12</v>
      </c>
      <c r="G76" s="47">
        <v>4</v>
      </c>
      <c r="H76" s="47">
        <v>10</v>
      </c>
      <c r="I76" s="47">
        <v>25</v>
      </c>
      <c r="J76" s="47">
        <v>6.5</v>
      </c>
      <c r="K76" s="47">
        <v>8.5</v>
      </c>
      <c r="L76" s="47">
        <v>15</v>
      </c>
      <c r="M76" s="48">
        <f t="shared" si="0"/>
        <v>90</v>
      </c>
    </row>
    <row r="77" spans="1:14" ht="15" x14ac:dyDescent="0.25">
      <c r="A77" s="30">
        <v>8</v>
      </c>
      <c r="B77" s="30">
        <v>13521054</v>
      </c>
      <c r="C77" s="31" t="s">
        <v>175</v>
      </c>
      <c r="D77" s="32" t="s">
        <v>8</v>
      </c>
      <c r="E77" s="47">
        <v>8</v>
      </c>
      <c r="F77" s="47">
        <v>2</v>
      </c>
      <c r="G77" s="47">
        <v>3</v>
      </c>
      <c r="H77" s="47">
        <v>5</v>
      </c>
      <c r="I77" s="47">
        <v>0</v>
      </c>
      <c r="J77" s="47">
        <v>10</v>
      </c>
      <c r="K77" s="47">
        <v>10</v>
      </c>
      <c r="L77" s="47">
        <v>6.5</v>
      </c>
      <c r="M77" s="48">
        <f t="shared" si="0"/>
        <v>44.5</v>
      </c>
    </row>
    <row r="78" spans="1:14" ht="15" x14ac:dyDescent="0.25">
      <c r="A78" s="30">
        <v>9</v>
      </c>
      <c r="B78" s="30">
        <v>13521056</v>
      </c>
      <c r="C78" s="31" t="s">
        <v>153</v>
      </c>
      <c r="D78" s="32" t="s">
        <v>8</v>
      </c>
      <c r="E78" s="47">
        <v>8</v>
      </c>
      <c r="F78" s="47">
        <v>5</v>
      </c>
      <c r="G78" s="47">
        <v>3</v>
      </c>
      <c r="H78" s="47">
        <v>10</v>
      </c>
      <c r="I78" s="47">
        <v>5</v>
      </c>
      <c r="J78" s="47">
        <v>10</v>
      </c>
      <c r="K78" s="47">
        <v>10</v>
      </c>
      <c r="L78" s="47">
        <v>14</v>
      </c>
      <c r="M78" s="48">
        <f t="shared" si="0"/>
        <v>65</v>
      </c>
    </row>
    <row r="79" spans="1:14" ht="15" x14ac:dyDescent="0.25">
      <c r="A79" s="30">
        <v>10</v>
      </c>
      <c r="B79" s="30">
        <v>13521058</v>
      </c>
      <c r="C79" s="31" t="s">
        <v>197</v>
      </c>
      <c r="D79" s="32" t="s">
        <v>8</v>
      </c>
      <c r="E79" s="47">
        <v>3</v>
      </c>
      <c r="F79" s="47">
        <v>2</v>
      </c>
      <c r="G79" s="47">
        <v>3</v>
      </c>
      <c r="H79" s="47">
        <v>5</v>
      </c>
      <c r="I79" s="47">
        <v>15</v>
      </c>
      <c r="J79" s="47">
        <v>5</v>
      </c>
      <c r="K79" s="47">
        <v>4</v>
      </c>
      <c r="L79" s="47">
        <v>9</v>
      </c>
      <c r="M79" s="48">
        <f t="shared" si="0"/>
        <v>46</v>
      </c>
    </row>
    <row r="80" spans="1:14" ht="15" x14ac:dyDescent="0.25">
      <c r="A80" s="30">
        <v>11</v>
      </c>
      <c r="B80" s="30">
        <v>13521060</v>
      </c>
      <c r="C80" s="31" t="s">
        <v>118</v>
      </c>
      <c r="D80" s="32" t="s">
        <v>8</v>
      </c>
      <c r="E80" s="47">
        <v>8</v>
      </c>
      <c r="F80" s="47">
        <v>8</v>
      </c>
      <c r="G80" s="47">
        <v>3</v>
      </c>
      <c r="H80" s="47">
        <v>10</v>
      </c>
      <c r="I80" s="47">
        <v>25</v>
      </c>
      <c r="J80" s="47">
        <v>7.5</v>
      </c>
      <c r="K80" s="47">
        <v>9.5</v>
      </c>
      <c r="L80" s="47">
        <v>12</v>
      </c>
      <c r="M80" s="48">
        <f t="shared" si="0"/>
        <v>83</v>
      </c>
    </row>
    <row r="81" spans="1:13" ht="15" x14ac:dyDescent="0.25">
      <c r="A81" s="30">
        <v>12</v>
      </c>
      <c r="B81" s="30">
        <v>13521062</v>
      </c>
      <c r="C81" s="31" t="s">
        <v>60</v>
      </c>
      <c r="D81" s="32" t="s">
        <v>8</v>
      </c>
      <c r="E81" s="47">
        <v>9</v>
      </c>
      <c r="F81" s="47">
        <v>13</v>
      </c>
      <c r="G81" s="47">
        <v>4</v>
      </c>
      <c r="H81" s="47">
        <v>10</v>
      </c>
      <c r="I81" s="47">
        <v>25</v>
      </c>
      <c r="J81" s="47">
        <v>10</v>
      </c>
      <c r="K81" s="47">
        <v>10</v>
      </c>
      <c r="L81" s="47">
        <v>14.5</v>
      </c>
      <c r="M81" s="48">
        <f t="shared" si="0"/>
        <v>95.5</v>
      </c>
    </row>
    <row r="82" spans="1:13" ht="15" x14ac:dyDescent="0.25">
      <c r="A82" s="30">
        <v>13</v>
      </c>
      <c r="B82" s="30">
        <v>13521064</v>
      </c>
      <c r="C82" s="31" t="s">
        <v>123</v>
      </c>
      <c r="D82" s="32" t="s">
        <v>8</v>
      </c>
      <c r="E82" s="47">
        <v>7</v>
      </c>
      <c r="F82" s="47">
        <v>2</v>
      </c>
      <c r="G82" s="47">
        <v>3</v>
      </c>
      <c r="H82" s="47">
        <v>5</v>
      </c>
      <c r="I82" s="47">
        <v>25</v>
      </c>
      <c r="J82" s="47">
        <v>10</v>
      </c>
      <c r="K82" s="47">
        <v>10</v>
      </c>
      <c r="L82" s="47">
        <v>8.5</v>
      </c>
      <c r="M82" s="48">
        <f t="shared" si="0"/>
        <v>70.5</v>
      </c>
    </row>
    <row r="83" spans="1:13" ht="15" x14ac:dyDescent="0.25">
      <c r="A83" s="30">
        <v>14</v>
      </c>
      <c r="B83" s="30">
        <v>13521066</v>
      </c>
      <c r="C83" s="31" t="s">
        <v>79</v>
      </c>
      <c r="D83" s="32" t="s">
        <v>8</v>
      </c>
      <c r="E83" s="47">
        <v>9</v>
      </c>
      <c r="F83" s="47">
        <v>12</v>
      </c>
      <c r="G83" s="47">
        <v>4</v>
      </c>
      <c r="H83" s="47">
        <v>10</v>
      </c>
      <c r="I83" s="47">
        <v>22</v>
      </c>
      <c r="J83" s="47">
        <v>10</v>
      </c>
      <c r="K83" s="47">
        <v>10</v>
      </c>
      <c r="L83" s="47">
        <v>15</v>
      </c>
      <c r="M83" s="48">
        <f t="shared" si="0"/>
        <v>92</v>
      </c>
    </row>
    <row r="84" spans="1:13" ht="15" x14ac:dyDescent="0.25">
      <c r="A84" s="30">
        <v>15</v>
      </c>
      <c r="B84" s="30">
        <v>13521068</v>
      </c>
      <c r="C84" s="31" t="s">
        <v>185</v>
      </c>
      <c r="D84" s="32" t="s">
        <v>8</v>
      </c>
      <c r="E84" s="47">
        <v>5</v>
      </c>
      <c r="F84" s="47">
        <v>10</v>
      </c>
      <c r="G84" s="47">
        <v>5</v>
      </c>
      <c r="H84" s="47">
        <v>2</v>
      </c>
      <c r="I84" s="47">
        <v>17</v>
      </c>
      <c r="J84" s="47">
        <v>5</v>
      </c>
      <c r="K84" s="47">
        <v>6.5</v>
      </c>
      <c r="L84" s="47">
        <v>6</v>
      </c>
      <c r="M84" s="48">
        <f t="shared" si="0"/>
        <v>56.5</v>
      </c>
    </row>
    <row r="85" spans="1:13" ht="15" x14ac:dyDescent="0.25">
      <c r="A85" s="30">
        <v>16</v>
      </c>
      <c r="B85" s="30">
        <v>13521070</v>
      </c>
      <c r="C85" s="31" t="s">
        <v>180</v>
      </c>
      <c r="D85" s="32" t="s">
        <v>8</v>
      </c>
      <c r="E85" s="47">
        <v>4</v>
      </c>
      <c r="F85" s="47">
        <v>2</v>
      </c>
      <c r="G85" s="47">
        <v>3</v>
      </c>
      <c r="H85" s="47">
        <v>5</v>
      </c>
      <c r="I85" s="47">
        <v>2</v>
      </c>
      <c r="J85" s="47">
        <v>10</v>
      </c>
      <c r="K85" s="47">
        <v>9</v>
      </c>
      <c r="L85" s="47">
        <v>13.5</v>
      </c>
      <c r="M85" s="48">
        <f t="shared" si="0"/>
        <v>48.5</v>
      </c>
    </row>
    <row r="86" spans="1:13" ht="15" x14ac:dyDescent="0.25">
      <c r="A86" s="30">
        <v>17</v>
      </c>
      <c r="B86" s="30">
        <v>13521072</v>
      </c>
      <c r="C86" s="31" t="s">
        <v>194</v>
      </c>
      <c r="D86" s="32" t="s">
        <v>8</v>
      </c>
      <c r="E86" s="47">
        <v>6</v>
      </c>
      <c r="F86" s="47">
        <v>2</v>
      </c>
      <c r="G86" s="47">
        <v>4</v>
      </c>
      <c r="H86" s="47">
        <v>0</v>
      </c>
      <c r="I86" s="47">
        <v>5</v>
      </c>
      <c r="J86" s="47">
        <v>5</v>
      </c>
      <c r="K86" s="47">
        <v>10</v>
      </c>
      <c r="L86" s="47">
        <v>14</v>
      </c>
      <c r="M86" s="48">
        <f t="shared" si="0"/>
        <v>46</v>
      </c>
    </row>
    <row r="87" spans="1:13" ht="15" x14ac:dyDescent="0.25">
      <c r="A87" s="30">
        <v>18</v>
      </c>
      <c r="B87" s="30">
        <v>13521074</v>
      </c>
      <c r="C87" s="31" t="s">
        <v>107</v>
      </c>
      <c r="D87" s="32" t="s">
        <v>8</v>
      </c>
      <c r="E87" s="47">
        <v>10</v>
      </c>
      <c r="F87" s="47">
        <v>10</v>
      </c>
      <c r="G87" s="47">
        <v>3</v>
      </c>
      <c r="H87" s="47">
        <v>10</v>
      </c>
      <c r="I87" s="47">
        <v>18</v>
      </c>
      <c r="J87" s="47">
        <v>5</v>
      </c>
      <c r="K87" s="47">
        <v>10</v>
      </c>
      <c r="L87" s="47">
        <v>14.5</v>
      </c>
      <c r="M87" s="48">
        <f t="shared" si="0"/>
        <v>80.5</v>
      </c>
    </row>
    <row r="88" spans="1:13" ht="15" x14ac:dyDescent="0.25">
      <c r="A88" s="30">
        <v>19</v>
      </c>
      <c r="B88" s="30">
        <v>13521076</v>
      </c>
      <c r="C88" s="31" t="s">
        <v>176</v>
      </c>
      <c r="D88" s="32" t="s">
        <v>8</v>
      </c>
      <c r="E88" s="47">
        <v>2.5</v>
      </c>
      <c r="F88" s="47">
        <v>15</v>
      </c>
      <c r="G88" s="47">
        <v>3</v>
      </c>
      <c r="H88" s="47">
        <v>0</v>
      </c>
      <c r="I88" s="47">
        <v>3</v>
      </c>
      <c r="J88" s="47">
        <v>5</v>
      </c>
      <c r="K88" s="47">
        <v>10</v>
      </c>
      <c r="L88" s="47">
        <v>14</v>
      </c>
      <c r="M88" s="48">
        <f t="shared" si="0"/>
        <v>52.5</v>
      </c>
    </row>
    <row r="89" spans="1:13" ht="15" x14ac:dyDescent="0.25">
      <c r="A89" s="30">
        <v>20</v>
      </c>
      <c r="B89" s="30">
        <v>13521078</v>
      </c>
      <c r="C89" s="31" t="s">
        <v>56</v>
      </c>
      <c r="D89" s="32" t="s">
        <v>8</v>
      </c>
      <c r="E89" s="47">
        <v>9</v>
      </c>
      <c r="F89" s="47">
        <v>15</v>
      </c>
      <c r="G89" s="47">
        <v>5</v>
      </c>
      <c r="H89" s="47">
        <v>10</v>
      </c>
      <c r="I89" s="47">
        <v>25</v>
      </c>
      <c r="J89" s="47">
        <v>10</v>
      </c>
      <c r="K89" s="47">
        <v>10</v>
      </c>
      <c r="L89" s="47">
        <v>14</v>
      </c>
      <c r="M89" s="48">
        <f t="shared" si="0"/>
        <v>98</v>
      </c>
    </row>
    <row r="90" spans="1:13" ht="15" x14ac:dyDescent="0.25">
      <c r="A90" s="30">
        <v>21</v>
      </c>
      <c r="B90" s="30">
        <v>13521080</v>
      </c>
      <c r="C90" s="31" t="s">
        <v>92</v>
      </c>
      <c r="D90" s="32" t="s">
        <v>8</v>
      </c>
      <c r="E90" s="47">
        <v>8</v>
      </c>
      <c r="F90" s="47">
        <v>12</v>
      </c>
      <c r="G90" s="47">
        <v>3</v>
      </c>
      <c r="H90" s="47">
        <v>5</v>
      </c>
      <c r="I90" s="47">
        <v>20</v>
      </c>
      <c r="J90" s="47">
        <v>8</v>
      </c>
      <c r="K90" s="47">
        <v>10</v>
      </c>
      <c r="L90" s="47">
        <v>11</v>
      </c>
      <c r="M90" s="48">
        <f t="shared" si="0"/>
        <v>77</v>
      </c>
    </row>
    <row r="91" spans="1:13" ht="15" x14ac:dyDescent="0.25">
      <c r="A91" s="30">
        <v>22</v>
      </c>
      <c r="B91" s="30">
        <v>13521082</v>
      </c>
      <c r="C91" s="31" t="s">
        <v>65</v>
      </c>
      <c r="D91" s="32" t="s">
        <v>8</v>
      </c>
      <c r="E91" s="47">
        <v>10</v>
      </c>
      <c r="F91" s="47">
        <v>12</v>
      </c>
      <c r="G91" s="47">
        <v>4</v>
      </c>
      <c r="H91" s="47">
        <v>10</v>
      </c>
      <c r="I91" s="47">
        <v>25</v>
      </c>
      <c r="J91" s="47">
        <v>10</v>
      </c>
      <c r="K91" s="47">
        <v>10</v>
      </c>
      <c r="L91" s="47">
        <v>14</v>
      </c>
      <c r="M91" s="48">
        <f t="shared" si="0"/>
        <v>95</v>
      </c>
    </row>
    <row r="92" spans="1:13" ht="15" x14ac:dyDescent="0.25">
      <c r="A92" s="30">
        <v>23</v>
      </c>
      <c r="B92" s="30">
        <v>13521084</v>
      </c>
      <c r="C92" s="31" t="s">
        <v>167</v>
      </c>
      <c r="D92" s="32" t="s">
        <v>8</v>
      </c>
      <c r="E92" s="47">
        <v>9</v>
      </c>
      <c r="F92" s="47">
        <v>2</v>
      </c>
      <c r="G92" s="47">
        <v>3</v>
      </c>
      <c r="H92" s="47">
        <v>10</v>
      </c>
      <c r="I92" s="47">
        <v>20</v>
      </c>
      <c r="J92" s="47">
        <v>10</v>
      </c>
      <c r="K92" s="47">
        <v>8.5</v>
      </c>
      <c r="L92" s="47">
        <v>10</v>
      </c>
      <c r="M92" s="48">
        <f t="shared" si="0"/>
        <v>72.5</v>
      </c>
    </row>
    <row r="93" spans="1:13" ht="15" x14ac:dyDescent="0.25">
      <c r="A93" s="30">
        <v>24</v>
      </c>
      <c r="B93" s="30">
        <v>13521086</v>
      </c>
      <c r="C93" s="31" t="s">
        <v>193</v>
      </c>
      <c r="D93" s="32" t="s">
        <v>8</v>
      </c>
      <c r="E93" s="47">
        <v>6</v>
      </c>
      <c r="F93" s="47">
        <v>3</v>
      </c>
      <c r="G93" s="47">
        <v>3</v>
      </c>
      <c r="H93" s="47">
        <v>2</v>
      </c>
      <c r="I93" s="47">
        <v>17.5</v>
      </c>
      <c r="J93" s="47">
        <v>5</v>
      </c>
      <c r="K93" s="47">
        <v>8.5</v>
      </c>
      <c r="L93" s="47">
        <v>7</v>
      </c>
      <c r="M93" s="48">
        <f t="shared" si="0"/>
        <v>52</v>
      </c>
    </row>
    <row r="94" spans="1:13" ht="15" x14ac:dyDescent="0.25">
      <c r="A94" s="30">
        <v>25</v>
      </c>
      <c r="B94" s="30">
        <v>13521088</v>
      </c>
      <c r="C94" s="31" t="s">
        <v>115</v>
      </c>
      <c r="D94" s="32" t="s">
        <v>8</v>
      </c>
      <c r="E94" s="47">
        <v>9</v>
      </c>
      <c r="F94" s="47">
        <v>8</v>
      </c>
      <c r="G94" s="47">
        <v>1</v>
      </c>
      <c r="H94" s="47">
        <v>5</v>
      </c>
      <c r="I94" s="47">
        <v>25</v>
      </c>
      <c r="J94" s="47">
        <v>10</v>
      </c>
      <c r="K94" s="47">
        <v>10</v>
      </c>
      <c r="L94" s="47">
        <v>3.5</v>
      </c>
      <c r="M94" s="48">
        <f t="shared" si="0"/>
        <v>71.5</v>
      </c>
    </row>
    <row r="95" spans="1:13" ht="15" x14ac:dyDescent="0.25">
      <c r="A95" s="30">
        <v>26</v>
      </c>
      <c r="B95" s="30">
        <v>13521090</v>
      </c>
      <c r="C95" s="31" t="s">
        <v>106</v>
      </c>
      <c r="D95" s="32" t="s">
        <v>8</v>
      </c>
      <c r="E95" s="47">
        <v>7</v>
      </c>
      <c r="F95" s="47">
        <v>12</v>
      </c>
      <c r="G95" s="47">
        <v>4</v>
      </c>
      <c r="H95" s="47">
        <v>5</v>
      </c>
      <c r="I95" s="47">
        <v>15</v>
      </c>
      <c r="J95" s="47">
        <v>7.5</v>
      </c>
      <c r="K95" s="47">
        <v>10</v>
      </c>
      <c r="L95" s="47">
        <v>13.5</v>
      </c>
      <c r="M95" s="48">
        <f t="shared" si="0"/>
        <v>74</v>
      </c>
    </row>
    <row r="96" spans="1:13" ht="15" x14ac:dyDescent="0.25">
      <c r="A96" s="30">
        <v>27</v>
      </c>
      <c r="B96" s="30">
        <v>13521092</v>
      </c>
      <c r="C96" s="31" t="s">
        <v>93</v>
      </c>
      <c r="D96" s="32" t="s">
        <v>8</v>
      </c>
      <c r="E96" s="47">
        <v>8</v>
      </c>
      <c r="F96" s="47">
        <v>10</v>
      </c>
      <c r="G96" s="47">
        <v>3</v>
      </c>
      <c r="H96" s="47">
        <v>10</v>
      </c>
      <c r="I96" s="47">
        <v>20</v>
      </c>
      <c r="J96" s="47">
        <v>7.5</v>
      </c>
      <c r="K96" s="47">
        <v>10</v>
      </c>
      <c r="L96" s="47">
        <v>14.5</v>
      </c>
      <c r="M96" s="48">
        <f t="shared" si="0"/>
        <v>83</v>
      </c>
    </row>
    <row r="97" spans="1:13" ht="15" x14ac:dyDescent="0.25">
      <c r="A97" s="30">
        <v>28</v>
      </c>
      <c r="B97" s="30">
        <v>13521094</v>
      </c>
      <c r="C97" s="31" t="s">
        <v>54</v>
      </c>
      <c r="D97" s="32" t="s">
        <v>8</v>
      </c>
      <c r="E97" s="47">
        <v>10</v>
      </c>
      <c r="F97" s="47">
        <v>12</v>
      </c>
      <c r="G97" s="47">
        <v>4</v>
      </c>
      <c r="H97" s="47">
        <v>10</v>
      </c>
      <c r="I97" s="47">
        <v>22</v>
      </c>
      <c r="J97" s="47">
        <v>10</v>
      </c>
      <c r="K97" s="47">
        <v>10</v>
      </c>
      <c r="L97" s="47">
        <v>14</v>
      </c>
      <c r="M97" s="48">
        <f t="shared" si="0"/>
        <v>92</v>
      </c>
    </row>
    <row r="98" spans="1:13" ht="15" x14ac:dyDescent="0.25">
      <c r="A98" s="30">
        <v>29</v>
      </c>
      <c r="B98" s="30">
        <v>13521096</v>
      </c>
      <c r="C98" s="31" t="s">
        <v>112</v>
      </c>
      <c r="D98" s="32" t="s">
        <v>8</v>
      </c>
      <c r="E98" s="47">
        <v>10</v>
      </c>
      <c r="F98" s="47">
        <v>15</v>
      </c>
      <c r="G98" s="47">
        <v>5</v>
      </c>
      <c r="H98" s="47">
        <v>10</v>
      </c>
      <c r="I98" s="47">
        <v>25</v>
      </c>
      <c r="J98" s="47">
        <v>10</v>
      </c>
      <c r="K98" s="47">
        <v>8</v>
      </c>
      <c r="L98" s="47">
        <v>8.5</v>
      </c>
      <c r="M98" s="48">
        <f t="shared" si="0"/>
        <v>91.5</v>
      </c>
    </row>
    <row r="99" spans="1:13" ht="15" x14ac:dyDescent="0.25">
      <c r="A99" s="30">
        <v>30</v>
      </c>
      <c r="B99" s="30">
        <v>13521098</v>
      </c>
      <c r="C99" s="31" t="s">
        <v>203</v>
      </c>
      <c r="D99" s="32" t="s">
        <v>8</v>
      </c>
      <c r="E99" s="47">
        <v>7</v>
      </c>
      <c r="F99" s="47">
        <v>15</v>
      </c>
      <c r="G99" s="47">
        <v>3</v>
      </c>
      <c r="H99" s="47">
        <v>10</v>
      </c>
      <c r="I99" s="47">
        <v>15</v>
      </c>
      <c r="J99" s="47">
        <v>10</v>
      </c>
      <c r="K99" s="47">
        <v>7</v>
      </c>
      <c r="L99" s="47">
        <v>0</v>
      </c>
      <c r="M99" s="48">
        <f t="shared" si="0"/>
        <v>67</v>
      </c>
    </row>
    <row r="100" spans="1:13" ht="15" x14ac:dyDescent="0.25">
      <c r="A100" s="30">
        <v>31</v>
      </c>
      <c r="B100" s="30">
        <v>13521100</v>
      </c>
      <c r="C100" s="31" t="s">
        <v>63</v>
      </c>
      <c r="D100" s="32" t="s">
        <v>8</v>
      </c>
      <c r="E100" s="47">
        <v>10</v>
      </c>
      <c r="F100" s="47">
        <v>13</v>
      </c>
      <c r="G100" s="47">
        <v>5</v>
      </c>
      <c r="H100" s="47">
        <v>10</v>
      </c>
      <c r="I100" s="47">
        <v>25</v>
      </c>
      <c r="J100" s="47">
        <v>7.5</v>
      </c>
      <c r="K100" s="47">
        <v>5.5</v>
      </c>
      <c r="L100" s="47">
        <v>14</v>
      </c>
      <c r="M100" s="48">
        <f t="shared" si="0"/>
        <v>90</v>
      </c>
    </row>
    <row r="101" spans="1:13" ht="15" x14ac:dyDescent="0.25">
      <c r="A101" s="30">
        <v>32</v>
      </c>
      <c r="B101" s="30">
        <v>13521102</v>
      </c>
      <c r="C101" s="31" t="s">
        <v>91</v>
      </c>
      <c r="D101" s="32" t="s">
        <v>8</v>
      </c>
      <c r="E101" s="47">
        <v>7</v>
      </c>
      <c r="F101" s="47">
        <v>15</v>
      </c>
      <c r="G101" s="47">
        <v>3</v>
      </c>
      <c r="H101" s="47">
        <v>10</v>
      </c>
      <c r="I101" s="47">
        <v>17</v>
      </c>
      <c r="J101" s="47">
        <v>10</v>
      </c>
      <c r="K101" s="47">
        <v>9</v>
      </c>
      <c r="L101" s="47">
        <v>13.5</v>
      </c>
      <c r="M101" s="48">
        <f t="shared" si="0"/>
        <v>84.5</v>
      </c>
    </row>
    <row r="102" spans="1:13" ht="15" x14ac:dyDescent="0.25">
      <c r="A102" s="30">
        <v>33</v>
      </c>
      <c r="B102" s="30">
        <v>13521104</v>
      </c>
      <c r="C102" s="31" t="s">
        <v>181</v>
      </c>
      <c r="D102" s="32" t="s">
        <v>8</v>
      </c>
      <c r="E102" s="47">
        <v>6</v>
      </c>
      <c r="F102" s="47">
        <v>2</v>
      </c>
      <c r="G102" s="47">
        <v>3</v>
      </c>
      <c r="H102" s="47">
        <v>0</v>
      </c>
      <c r="I102" s="47">
        <v>2</v>
      </c>
      <c r="J102" s="47">
        <v>10</v>
      </c>
      <c r="K102" s="47">
        <v>9</v>
      </c>
      <c r="L102" s="47">
        <v>14</v>
      </c>
      <c r="M102" s="48">
        <f t="shared" si="0"/>
        <v>46</v>
      </c>
    </row>
    <row r="103" spans="1:13" ht="15" x14ac:dyDescent="0.25">
      <c r="A103" s="30">
        <v>34</v>
      </c>
      <c r="B103" s="30">
        <v>13521106</v>
      </c>
      <c r="C103" s="31" t="s">
        <v>110</v>
      </c>
      <c r="D103" s="32" t="s">
        <v>8</v>
      </c>
      <c r="E103" s="47">
        <v>8</v>
      </c>
      <c r="F103" s="47">
        <v>15</v>
      </c>
      <c r="G103" s="47">
        <v>4</v>
      </c>
      <c r="H103" s="47">
        <v>10</v>
      </c>
      <c r="I103" s="47">
        <v>25</v>
      </c>
      <c r="J103" s="47">
        <v>7.5</v>
      </c>
      <c r="K103" s="47">
        <v>10</v>
      </c>
      <c r="L103" s="47">
        <v>14</v>
      </c>
      <c r="M103" s="48">
        <f t="shared" si="0"/>
        <v>93.5</v>
      </c>
    </row>
    <row r="104" spans="1:13" ht="15" x14ac:dyDescent="0.25">
      <c r="A104" s="30">
        <v>35</v>
      </c>
      <c r="B104" s="30">
        <v>13521108</v>
      </c>
      <c r="C104" s="31" t="s">
        <v>55</v>
      </c>
      <c r="D104" s="32" t="s">
        <v>8</v>
      </c>
      <c r="E104" s="47">
        <v>9</v>
      </c>
      <c r="F104" s="47">
        <v>13</v>
      </c>
      <c r="G104" s="47">
        <v>3</v>
      </c>
      <c r="H104" s="47">
        <v>10</v>
      </c>
      <c r="I104" s="47">
        <v>25</v>
      </c>
      <c r="J104" s="47">
        <v>10</v>
      </c>
      <c r="K104" s="47">
        <v>10</v>
      </c>
      <c r="L104" s="47">
        <v>15</v>
      </c>
      <c r="M104" s="48">
        <f t="shared" si="0"/>
        <v>95</v>
      </c>
    </row>
    <row r="105" spans="1:13" ht="15" x14ac:dyDescent="0.25">
      <c r="A105" s="30">
        <v>36</v>
      </c>
      <c r="B105" s="30">
        <v>13521110</v>
      </c>
      <c r="C105" s="31" t="s">
        <v>67</v>
      </c>
      <c r="D105" s="32" t="s">
        <v>8</v>
      </c>
      <c r="E105" s="47">
        <v>9</v>
      </c>
      <c r="F105" s="47">
        <v>15</v>
      </c>
      <c r="G105" s="47">
        <v>3</v>
      </c>
      <c r="H105" s="47">
        <v>10</v>
      </c>
      <c r="I105" s="47">
        <v>25</v>
      </c>
      <c r="J105" s="47">
        <v>7.5</v>
      </c>
      <c r="K105" s="47">
        <v>10</v>
      </c>
      <c r="L105" s="47">
        <v>14</v>
      </c>
      <c r="M105" s="48">
        <f t="shared" si="0"/>
        <v>93.5</v>
      </c>
    </row>
    <row r="106" spans="1:13" ht="15" x14ac:dyDescent="0.25">
      <c r="A106" s="30">
        <v>37</v>
      </c>
      <c r="B106" s="30">
        <v>13521112</v>
      </c>
      <c r="C106" s="31" t="s">
        <v>200</v>
      </c>
      <c r="D106" s="32" t="s">
        <v>8</v>
      </c>
      <c r="E106" s="47">
        <v>5</v>
      </c>
      <c r="F106" s="47">
        <v>13</v>
      </c>
      <c r="G106" s="47">
        <v>3</v>
      </c>
      <c r="H106" s="47">
        <v>0</v>
      </c>
      <c r="I106" s="47">
        <v>5</v>
      </c>
      <c r="J106" s="47">
        <v>5</v>
      </c>
      <c r="K106" s="47">
        <v>8.5</v>
      </c>
      <c r="L106" s="47">
        <v>6.5</v>
      </c>
      <c r="M106" s="48">
        <f t="shared" si="0"/>
        <v>46</v>
      </c>
    </row>
    <row r="107" spans="1:13" ht="15" x14ac:dyDescent="0.25">
      <c r="A107" s="30">
        <v>38</v>
      </c>
      <c r="B107" s="30">
        <v>13521114</v>
      </c>
      <c r="C107" s="31" t="s">
        <v>76</v>
      </c>
      <c r="D107" s="32" t="s">
        <v>8</v>
      </c>
      <c r="E107" s="47">
        <v>10</v>
      </c>
      <c r="F107" s="47">
        <v>12</v>
      </c>
      <c r="G107" s="47">
        <v>4</v>
      </c>
      <c r="H107" s="47">
        <v>10</v>
      </c>
      <c r="I107" s="47">
        <v>25</v>
      </c>
      <c r="J107" s="47">
        <v>10</v>
      </c>
      <c r="K107" s="47">
        <v>8</v>
      </c>
      <c r="L107" s="47">
        <v>8.5</v>
      </c>
      <c r="M107" s="48">
        <f t="shared" si="0"/>
        <v>87.5</v>
      </c>
    </row>
    <row r="108" spans="1:13" ht="15" x14ac:dyDescent="0.25">
      <c r="A108" s="30">
        <v>39</v>
      </c>
      <c r="B108" s="30">
        <v>13521116</v>
      </c>
      <c r="C108" s="31" t="s">
        <v>90</v>
      </c>
      <c r="D108" s="32" t="s">
        <v>8</v>
      </c>
      <c r="E108" s="47">
        <v>10</v>
      </c>
      <c r="F108" s="47">
        <v>15</v>
      </c>
      <c r="G108" s="47">
        <v>5</v>
      </c>
      <c r="H108" s="47">
        <v>5</v>
      </c>
      <c r="I108" s="47">
        <v>22.5</v>
      </c>
      <c r="J108" s="47">
        <v>7.5</v>
      </c>
      <c r="K108" s="47">
        <v>10</v>
      </c>
      <c r="L108" s="47">
        <v>10.5</v>
      </c>
      <c r="M108" s="48">
        <f t="shared" si="0"/>
        <v>85.5</v>
      </c>
    </row>
    <row r="109" spans="1:13" ht="15" x14ac:dyDescent="0.25">
      <c r="A109" s="30">
        <v>40</v>
      </c>
      <c r="B109" s="30">
        <v>13521118</v>
      </c>
      <c r="C109" s="31" t="s">
        <v>157</v>
      </c>
      <c r="D109" s="32" t="s">
        <v>8</v>
      </c>
      <c r="E109" s="47">
        <v>10</v>
      </c>
      <c r="F109" s="47">
        <v>8</v>
      </c>
      <c r="G109" s="47">
        <v>5</v>
      </c>
      <c r="H109" s="47">
        <v>5</v>
      </c>
      <c r="I109" s="47">
        <v>5</v>
      </c>
      <c r="J109" s="47">
        <v>10</v>
      </c>
      <c r="K109" s="47">
        <v>10</v>
      </c>
      <c r="L109" s="47">
        <v>11.5</v>
      </c>
      <c r="M109" s="48">
        <f t="shared" si="0"/>
        <v>64.5</v>
      </c>
    </row>
    <row r="110" spans="1:13" ht="15" x14ac:dyDescent="0.25">
      <c r="A110" s="30">
        <v>41</v>
      </c>
      <c r="B110" s="30">
        <v>13521120</v>
      </c>
      <c r="C110" s="31" t="s">
        <v>129</v>
      </c>
      <c r="D110" s="32" t="s">
        <v>8</v>
      </c>
      <c r="E110" s="47">
        <v>8</v>
      </c>
      <c r="F110" s="47">
        <v>12</v>
      </c>
      <c r="G110" s="47">
        <v>4</v>
      </c>
      <c r="H110" s="47">
        <v>5</v>
      </c>
      <c r="I110" s="47">
        <v>17</v>
      </c>
      <c r="J110" s="47">
        <v>10</v>
      </c>
      <c r="K110" s="47">
        <v>10</v>
      </c>
      <c r="L110" s="47">
        <v>8</v>
      </c>
      <c r="M110" s="48">
        <f t="shared" si="0"/>
        <v>74</v>
      </c>
    </row>
    <row r="111" spans="1:13" ht="15" x14ac:dyDescent="0.25">
      <c r="A111" s="30">
        <v>42</v>
      </c>
      <c r="B111" s="30">
        <v>13521122</v>
      </c>
      <c r="C111" s="31" t="s">
        <v>100</v>
      </c>
      <c r="D111" s="32" t="s">
        <v>8</v>
      </c>
      <c r="E111" s="47">
        <v>8</v>
      </c>
      <c r="F111" s="47">
        <v>12</v>
      </c>
      <c r="G111" s="47">
        <v>3</v>
      </c>
      <c r="H111" s="47">
        <v>10</v>
      </c>
      <c r="I111" s="47">
        <v>25</v>
      </c>
      <c r="J111" s="47">
        <v>10</v>
      </c>
      <c r="K111" s="47">
        <v>5</v>
      </c>
      <c r="L111" s="47">
        <v>11</v>
      </c>
      <c r="M111" s="48">
        <f t="shared" si="0"/>
        <v>84</v>
      </c>
    </row>
    <row r="112" spans="1:13" ht="15" x14ac:dyDescent="0.25">
      <c r="A112" s="30">
        <v>43</v>
      </c>
      <c r="B112" s="30">
        <v>13521124</v>
      </c>
      <c r="C112" s="31" t="s">
        <v>57</v>
      </c>
      <c r="D112" s="32" t="s">
        <v>8</v>
      </c>
      <c r="E112" s="47">
        <v>8</v>
      </c>
      <c r="F112" s="47">
        <v>15</v>
      </c>
      <c r="G112" s="47">
        <v>4</v>
      </c>
      <c r="H112" s="47">
        <v>10</v>
      </c>
      <c r="I112" s="47">
        <v>22</v>
      </c>
      <c r="J112" s="47">
        <v>10</v>
      </c>
      <c r="K112" s="47">
        <v>10</v>
      </c>
      <c r="L112" s="47">
        <v>15</v>
      </c>
      <c r="M112" s="48">
        <f t="shared" si="0"/>
        <v>94</v>
      </c>
    </row>
    <row r="113" spans="1:13" ht="15" x14ac:dyDescent="0.25">
      <c r="A113" s="30">
        <v>44</v>
      </c>
      <c r="B113" s="30">
        <v>13521128</v>
      </c>
      <c r="C113" s="31" t="s">
        <v>142</v>
      </c>
      <c r="D113" s="32" t="s">
        <v>8</v>
      </c>
      <c r="E113" s="47">
        <v>8</v>
      </c>
      <c r="F113" s="47">
        <v>15</v>
      </c>
      <c r="G113" s="47">
        <v>3</v>
      </c>
      <c r="H113" s="47">
        <v>10</v>
      </c>
      <c r="I113" s="47">
        <v>22.5</v>
      </c>
      <c r="J113" s="47">
        <v>7.5</v>
      </c>
      <c r="K113" s="47">
        <v>10</v>
      </c>
      <c r="L113" s="47">
        <v>12</v>
      </c>
      <c r="M113" s="48">
        <f t="shared" si="0"/>
        <v>88</v>
      </c>
    </row>
    <row r="114" spans="1:13" ht="15" x14ac:dyDescent="0.25">
      <c r="A114" s="30">
        <v>45</v>
      </c>
      <c r="B114" s="30">
        <v>13521130</v>
      </c>
      <c r="C114" s="31" t="s">
        <v>138</v>
      </c>
      <c r="D114" s="32" t="s">
        <v>8</v>
      </c>
      <c r="E114" s="47">
        <v>9</v>
      </c>
      <c r="F114" s="47">
        <v>8</v>
      </c>
      <c r="G114" s="47">
        <v>3</v>
      </c>
      <c r="H114" s="47">
        <v>5</v>
      </c>
      <c r="I114" s="47">
        <v>20</v>
      </c>
      <c r="J114" s="47">
        <v>10</v>
      </c>
      <c r="K114" s="47">
        <v>9</v>
      </c>
      <c r="L114" s="47">
        <v>11.5</v>
      </c>
      <c r="M114" s="48">
        <f t="shared" si="0"/>
        <v>75.5</v>
      </c>
    </row>
    <row r="115" spans="1:13" ht="15" x14ac:dyDescent="0.25">
      <c r="A115" s="30">
        <v>46</v>
      </c>
      <c r="B115" s="30">
        <v>13521132</v>
      </c>
      <c r="C115" s="31" t="s">
        <v>195</v>
      </c>
      <c r="D115" s="32" t="s">
        <v>8</v>
      </c>
      <c r="E115" s="47">
        <v>7</v>
      </c>
      <c r="F115" s="47">
        <v>15</v>
      </c>
      <c r="G115" s="47">
        <v>3</v>
      </c>
      <c r="H115" s="47">
        <v>5</v>
      </c>
      <c r="I115" s="47">
        <v>2</v>
      </c>
      <c r="J115" s="47">
        <v>10</v>
      </c>
      <c r="K115" s="47">
        <v>8</v>
      </c>
      <c r="L115" s="47">
        <v>15</v>
      </c>
      <c r="M115" s="48">
        <f t="shared" si="0"/>
        <v>65</v>
      </c>
    </row>
    <row r="116" spans="1:13" ht="15" x14ac:dyDescent="0.25">
      <c r="A116" s="30">
        <v>47</v>
      </c>
      <c r="B116" s="30">
        <v>13521134</v>
      </c>
      <c r="C116" s="31" t="s">
        <v>125</v>
      </c>
      <c r="D116" s="32" t="s">
        <v>8</v>
      </c>
      <c r="E116" s="47">
        <v>10</v>
      </c>
      <c r="F116" s="47">
        <v>8</v>
      </c>
      <c r="G116" s="47">
        <v>4</v>
      </c>
      <c r="H116" s="47">
        <v>10</v>
      </c>
      <c r="I116" s="47">
        <v>22</v>
      </c>
      <c r="J116" s="47">
        <v>5</v>
      </c>
      <c r="K116" s="47">
        <v>9.5</v>
      </c>
      <c r="L116" s="47">
        <v>14</v>
      </c>
      <c r="M116" s="48">
        <f t="shared" si="0"/>
        <v>82.5</v>
      </c>
    </row>
    <row r="117" spans="1:13" ht="15" x14ac:dyDescent="0.25">
      <c r="A117" s="30">
        <v>48</v>
      </c>
      <c r="B117" s="30">
        <v>13521136</v>
      </c>
      <c r="C117" s="31" t="s">
        <v>190</v>
      </c>
      <c r="D117" s="32" t="s">
        <v>8</v>
      </c>
      <c r="E117" s="47">
        <v>8</v>
      </c>
      <c r="F117" s="47">
        <v>1</v>
      </c>
      <c r="G117" s="47">
        <v>5</v>
      </c>
      <c r="H117" s="47">
        <v>10</v>
      </c>
      <c r="I117" s="47">
        <v>8</v>
      </c>
      <c r="J117" s="47">
        <v>7.5</v>
      </c>
      <c r="K117" s="47">
        <v>10</v>
      </c>
      <c r="L117" s="47">
        <v>10.5</v>
      </c>
      <c r="M117" s="48">
        <f t="shared" si="0"/>
        <v>60</v>
      </c>
    </row>
    <row r="118" spans="1:13" ht="15" x14ac:dyDescent="0.25">
      <c r="A118" s="30">
        <v>49</v>
      </c>
      <c r="B118" s="30">
        <v>13521138</v>
      </c>
      <c r="C118" s="31" t="s">
        <v>146</v>
      </c>
      <c r="D118" s="32" t="s">
        <v>8</v>
      </c>
      <c r="E118" s="47">
        <v>8</v>
      </c>
      <c r="F118" s="47">
        <v>2</v>
      </c>
      <c r="G118" s="47">
        <v>4</v>
      </c>
      <c r="H118" s="47">
        <v>10</v>
      </c>
      <c r="I118" s="47">
        <v>22</v>
      </c>
      <c r="J118" s="47">
        <v>7.5</v>
      </c>
      <c r="K118" s="47">
        <v>10</v>
      </c>
      <c r="L118" s="47">
        <v>4</v>
      </c>
      <c r="M118" s="48">
        <f t="shared" si="0"/>
        <v>67.5</v>
      </c>
    </row>
    <row r="119" spans="1:13" ht="15" x14ac:dyDescent="0.25">
      <c r="A119" s="30">
        <v>50</v>
      </c>
      <c r="B119" s="30">
        <v>13521140</v>
      </c>
      <c r="C119" s="31" t="s">
        <v>113</v>
      </c>
      <c r="D119" s="32" t="s">
        <v>8</v>
      </c>
      <c r="E119" s="47">
        <v>5</v>
      </c>
      <c r="F119" s="47">
        <v>15</v>
      </c>
      <c r="G119" s="47">
        <v>4</v>
      </c>
      <c r="H119" s="47">
        <v>10</v>
      </c>
      <c r="I119" s="47">
        <v>17</v>
      </c>
      <c r="J119" s="47">
        <v>7.5</v>
      </c>
      <c r="K119" s="47">
        <v>10</v>
      </c>
      <c r="L119" s="47">
        <v>14</v>
      </c>
      <c r="M119" s="48">
        <f t="shared" si="0"/>
        <v>82.5</v>
      </c>
    </row>
    <row r="120" spans="1:13" ht="15" x14ac:dyDescent="0.25">
      <c r="A120" s="30">
        <v>51</v>
      </c>
      <c r="B120" s="30">
        <v>13521142</v>
      </c>
      <c r="C120" s="31" t="s">
        <v>154</v>
      </c>
      <c r="D120" s="32" t="s">
        <v>8</v>
      </c>
      <c r="E120" s="47">
        <v>10</v>
      </c>
      <c r="F120" s="47">
        <v>12</v>
      </c>
      <c r="G120" s="47">
        <v>3</v>
      </c>
      <c r="H120" s="47">
        <v>10</v>
      </c>
      <c r="I120" s="47">
        <v>25</v>
      </c>
      <c r="J120" s="47">
        <v>10</v>
      </c>
      <c r="K120" s="47">
        <v>8</v>
      </c>
      <c r="L120" s="47">
        <v>11</v>
      </c>
      <c r="M120" s="48">
        <f t="shared" si="0"/>
        <v>89</v>
      </c>
    </row>
    <row r="121" spans="1:13" ht="15" x14ac:dyDescent="0.25">
      <c r="A121" s="30">
        <v>52</v>
      </c>
      <c r="B121" s="30">
        <v>13521144</v>
      </c>
      <c r="C121" s="31" t="s">
        <v>104</v>
      </c>
      <c r="D121" s="32" t="s">
        <v>8</v>
      </c>
      <c r="E121" s="47">
        <v>9</v>
      </c>
      <c r="F121" s="47">
        <v>10</v>
      </c>
      <c r="G121" s="47">
        <v>4</v>
      </c>
      <c r="H121" s="47">
        <v>10</v>
      </c>
      <c r="I121" s="47">
        <v>25</v>
      </c>
      <c r="J121" s="47">
        <v>5</v>
      </c>
      <c r="K121" s="47">
        <v>10</v>
      </c>
      <c r="L121" s="47">
        <v>13.5</v>
      </c>
      <c r="M121" s="48">
        <f t="shared" si="0"/>
        <v>86.5</v>
      </c>
    </row>
    <row r="122" spans="1:13" ht="15" x14ac:dyDescent="0.25">
      <c r="A122" s="30">
        <v>53</v>
      </c>
      <c r="B122" s="30">
        <v>13521146</v>
      </c>
      <c r="C122" s="31" t="s">
        <v>73</v>
      </c>
      <c r="D122" s="32" t="s">
        <v>8</v>
      </c>
      <c r="E122" s="47">
        <v>10</v>
      </c>
      <c r="F122" s="47">
        <v>8</v>
      </c>
      <c r="G122" s="47">
        <v>3</v>
      </c>
      <c r="H122" s="47">
        <v>10</v>
      </c>
      <c r="I122" s="47">
        <v>25</v>
      </c>
      <c r="J122" s="47">
        <v>7.5</v>
      </c>
      <c r="K122" s="47">
        <v>10</v>
      </c>
      <c r="L122" s="47">
        <v>14</v>
      </c>
      <c r="M122" s="48">
        <f t="shared" si="0"/>
        <v>87.5</v>
      </c>
    </row>
    <row r="123" spans="1:13" ht="15" x14ac:dyDescent="0.25">
      <c r="A123" s="30">
        <v>54</v>
      </c>
      <c r="B123" s="30">
        <v>13521148</v>
      </c>
      <c r="C123" s="31" t="s">
        <v>51</v>
      </c>
      <c r="D123" s="32" t="s">
        <v>8</v>
      </c>
      <c r="E123" s="47">
        <v>10</v>
      </c>
      <c r="F123" s="47">
        <v>8</v>
      </c>
      <c r="G123" s="47">
        <v>4</v>
      </c>
      <c r="H123" s="47">
        <v>10</v>
      </c>
      <c r="I123" s="47">
        <v>25</v>
      </c>
      <c r="J123" s="47">
        <v>10</v>
      </c>
      <c r="K123" s="47">
        <v>10</v>
      </c>
      <c r="L123" s="47">
        <v>14</v>
      </c>
      <c r="M123" s="48">
        <f t="shared" si="0"/>
        <v>91</v>
      </c>
    </row>
    <row r="124" spans="1:13" ht="15" x14ac:dyDescent="0.25">
      <c r="A124" s="30">
        <v>55</v>
      </c>
      <c r="B124" s="30">
        <v>13521150</v>
      </c>
      <c r="C124" s="31" t="s">
        <v>83</v>
      </c>
      <c r="D124" s="32" t="s">
        <v>8</v>
      </c>
      <c r="E124" s="47">
        <v>9</v>
      </c>
      <c r="F124" s="47">
        <v>2</v>
      </c>
      <c r="G124" s="47">
        <v>3</v>
      </c>
      <c r="H124" s="47">
        <v>10</v>
      </c>
      <c r="I124" s="47">
        <v>25</v>
      </c>
      <c r="J124" s="47">
        <v>7.5</v>
      </c>
      <c r="K124" s="47">
        <v>10</v>
      </c>
      <c r="L124" s="47">
        <v>14</v>
      </c>
      <c r="M124" s="48">
        <f t="shared" si="0"/>
        <v>80.5</v>
      </c>
    </row>
    <row r="125" spans="1:13" ht="15" x14ac:dyDescent="0.25">
      <c r="A125" s="30">
        <v>56</v>
      </c>
      <c r="B125" s="30">
        <v>13521152</v>
      </c>
      <c r="C125" s="31" t="s">
        <v>149</v>
      </c>
      <c r="D125" s="32" t="s">
        <v>8</v>
      </c>
      <c r="E125" s="47">
        <v>9</v>
      </c>
      <c r="F125" s="47">
        <v>15</v>
      </c>
      <c r="G125" s="47">
        <v>3</v>
      </c>
      <c r="H125" s="47">
        <v>7</v>
      </c>
      <c r="I125" s="47">
        <v>15</v>
      </c>
      <c r="J125" s="47">
        <v>10</v>
      </c>
      <c r="K125" s="47">
        <v>7.5</v>
      </c>
      <c r="L125" s="47">
        <v>8</v>
      </c>
      <c r="M125" s="48">
        <f t="shared" si="0"/>
        <v>74.5</v>
      </c>
    </row>
    <row r="126" spans="1:13" ht="15" x14ac:dyDescent="0.25">
      <c r="A126" s="30">
        <v>57</v>
      </c>
      <c r="B126" s="30">
        <v>13521156</v>
      </c>
      <c r="C126" s="31" t="s">
        <v>137</v>
      </c>
      <c r="D126" s="32" t="s">
        <v>8</v>
      </c>
      <c r="E126" s="47">
        <v>8</v>
      </c>
      <c r="F126" s="47">
        <v>15</v>
      </c>
      <c r="G126" s="47">
        <v>4</v>
      </c>
      <c r="H126" s="47">
        <v>0</v>
      </c>
      <c r="I126" s="47">
        <v>15</v>
      </c>
      <c r="J126" s="47">
        <v>10</v>
      </c>
      <c r="K126" s="47">
        <v>6</v>
      </c>
      <c r="L126" s="47">
        <v>10.5</v>
      </c>
      <c r="M126" s="48">
        <f t="shared" si="0"/>
        <v>68.5</v>
      </c>
    </row>
    <row r="127" spans="1:13" ht="15" x14ac:dyDescent="0.25">
      <c r="A127" s="30">
        <v>58</v>
      </c>
      <c r="B127" s="30">
        <v>13521158</v>
      </c>
      <c r="C127" s="31" t="s">
        <v>209</v>
      </c>
      <c r="D127" s="32" t="s">
        <v>8</v>
      </c>
      <c r="E127" s="47"/>
      <c r="F127" s="47"/>
      <c r="G127" s="47"/>
      <c r="H127" s="47"/>
      <c r="I127" s="47"/>
      <c r="J127" s="47"/>
      <c r="K127" s="47"/>
      <c r="L127" s="47"/>
      <c r="M127" s="48">
        <f t="shared" si="0"/>
        <v>0</v>
      </c>
    </row>
    <row r="128" spans="1:13" ht="15" x14ac:dyDescent="0.25">
      <c r="A128" s="30">
        <v>59</v>
      </c>
      <c r="B128" s="30">
        <v>13521160</v>
      </c>
      <c r="C128" s="31" t="s">
        <v>119</v>
      </c>
      <c r="D128" s="32" t="s">
        <v>8</v>
      </c>
      <c r="E128" s="47">
        <v>9</v>
      </c>
      <c r="F128" s="47">
        <v>10</v>
      </c>
      <c r="G128" s="47">
        <v>5</v>
      </c>
      <c r="H128" s="47">
        <v>10</v>
      </c>
      <c r="I128" s="47">
        <v>22</v>
      </c>
      <c r="J128" s="47">
        <v>7.5</v>
      </c>
      <c r="K128" s="47">
        <v>10</v>
      </c>
      <c r="L128" s="47">
        <v>10</v>
      </c>
      <c r="M128" s="48">
        <f t="shared" si="0"/>
        <v>83.5</v>
      </c>
    </row>
    <row r="129" spans="1:14" ht="15" x14ac:dyDescent="0.25">
      <c r="A129" s="30">
        <v>60</v>
      </c>
      <c r="B129" s="30">
        <v>13521162</v>
      </c>
      <c r="C129" s="31" t="s">
        <v>52</v>
      </c>
      <c r="D129" s="32" t="s">
        <v>8</v>
      </c>
      <c r="E129" s="47">
        <v>9</v>
      </c>
      <c r="F129" s="47">
        <v>15</v>
      </c>
      <c r="G129" s="47">
        <v>5</v>
      </c>
      <c r="H129" s="47">
        <v>10</v>
      </c>
      <c r="I129" s="47">
        <v>25</v>
      </c>
      <c r="J129" s="47">
        <v>10</v>
      </c>
      <c r="K129" s="47">
        <v>10</v>
      </c>
      <c r="L129" s="47">
        <v>12</v>
      </c>
      <c r="M129" s="48">
        <f t="shared" si="0"/>
        <v>96</v>
      </c>
    </row>
    <row r="130" spans="1:14" ht="15" x14ac:dyDescent="0.25">
      <c r="A130" s="30">
        <v>61</v>
      </c>
      <c r="B130" s="30">
        <v>13521164</v>
      </c>
      <c r="C130" s="31" t="s">
        <v>127</v>
      </c>
      <c r="D130" s="32" t="s">
        <v>8</v>
      </c>
      <c r="E130" s="47">
        <v>9</v>
      </c>
      <c r="F130" s="47">
        <v>3</v>
      </c>
      <c r="G130" s="47">
        <v>4</v>
      </c>
      <c r="H130" s="47">
        <v>5</v>
      </c>
      <c r="I130" s="47">
        <v>20</v>
      </c>
      <c r="J130" s="47">
        <v>10</v>
      </c>
      <c r="K130" s="47">
        <v>10</v>
      </c>
      <c r="L130" s="47">
        <v>12.5</v>
      </c>
      <c r="M130" s="48">
        <f t="shared" si="0"/>
        <v>73.5</v>
      </c>
    </row>
    <row r="131" spans="1:14" ht="15" x14ac:dyDescent="0.25">
      <c r="A131" s="30">
        <v>62</v>
      </c>
      <c r="B131" s="30">
        <v>13521166</v>
      </c>
      <c r="C131" s="31" t="s">
        <v>86</v>
      </c>
      <c r="D131" s="32" t="s">
        <v>8</v>
      </c>
      <c r="E131" s="47">
        <v>9</v>
      </c>
      <c r="F131" s="47">
        <v>10</v>
      </c>
      <c r="G131" s="47">
        <v>3</v>
      </c>
      <c r="H131" s="47">
        <v>10</v>
      </c>
      <c r="I131" s="47">
        <v>15</v>
      </c>
      <c r="J131" s="47">
        <v>10</v>
      </c>
      <c r="K131" s="47">
        <v>10</v>
      </c>
      <c r="L131" s="47">
        <v>14</v>
      </c>
      <c r="M131" s="48">
        <f t="shared" si="0"/>
        <v>81</v>
      </c>
    </row>
    <row r="132" spans="1:14" ht="15" x14ac:dyDescent="0.25">
      <c r="A132" s="30">
        <v>63</v>
      </c>
      <c r="B132" s="30">
        <v>13521168</v>
      </c>
      <c r="C132" s="31" t="s">
        <v>205</v>
      </c>
      <c r="D132" s="32" t="s">
        <v>8</v>
      </c>
      <c r="E132" s="47">
        <v>6</v>
      </c>
      <c r="F132" s="47">
        <v>2</v>
      </c>
      <c r="G132" s="47">
        <v>3</v>
      </c>
      <c r="H132" s="47">
        <v>0</v>
      </c>
      <c r="I132" s="47">
        <v>1</v>
      </c>
      <c r="J132" s="47">
        <v>8</v>
      </c>
      <c r="K132" s="47">
        <v>9</v>
      </c>
      <c r="L132" s="47">
        <v>10.5</v>
      </c>
      <c r="M132" s="48">
        <f t="shared" si="0"/>
        <v>39.5</v>
      </c>
    </row>
    <row r="133" spans="1:14" ht="15" x14ac:dyDescent="0.25">
      <c r="A133" s="30">
        <v>64</v>
      </c>
      <c r="B133" s="30">
        <v>13521170</v>
      </c>
      <c r="C133" s="31" t="s">
        <v>147</v>
      </c>
      <c r="D133" s="32" t="s">
        <v>8</v>
      </c>
      <c r="E133" s="47">
        <v>8</v>
      </c>
      <c r="F133" s="47">
        <v>15</v>
      </c>
      <c r="G133" s="47">
        <v>4</v>
      </c>
      <c r="H133" s="47">
        <v>10</v>
      </c>
      <c r="I133" s="47">
        <v>1</v>
      </c>
      <c r="J133" s="47">
        <v>10</v>
      </c>
      <c r="K133" s="47">
        <v>9.5</v>
      </c>
      <c r="L133" s="47">
        <v>11.5</v>
      </c>
      <c r="M133" s="48">
        <f t="shared" si="0"/>
        <v>69</v>
      </c>
    </row>
    <row r="134" spans="1:14" ht="15" x14ac:dyDescent="0.25">
      <c r="A134" s="30">
        <v>65</v>
      </c>
      <c r="B134" s="30">
        <v>13521172</v>
      </c>
      <c r="C134" s="31" t="s">
        <v>50</v>
      </c>
      <c r="D134" s="32" t="s">
        <v>8</v>
      </c>
      <c r="E134" s="47">
        <v>9</v>
      </c>
      <c r="F134" s="47">
        <v>15</v>
      </c>
      <c r="G134" s="47">
        <v>3</v>
      </c>
      <c r="H134" s="47">
        <v>10</v>
      </c>
      <c r="I134" s="47">
        <v>20</v>
      </c>
      <c r="J134" s="47">
        <v>10</v>
      </c>
      <c r="K134" s="47">
        <v>10</v>
      </c>
      <c r="L134" s="47">
        <v>14.5</v>
      </c>
      <c r="M134" s="48">
        <f t="shared" si="0"/>
        <v>91.5</v>
      </c>
      <c r="N134" s="46">
        <f>AVERAGE(M70:M134)</f>
        <v>74.430769230769229</v>
      </c>
    </row>
    <row r="135" spans="1:14" ht="15" x14ac:dyDescent="0.25">
      <c r="A135" s="30">
        <v>1</v>
      </c>
      <c r="B135" s="30">
        <v>13521001</v>
      </c>
      <c r="C135" s="31" t="s">
        <v>135</v>
      </c>
      <c r="D135" s="32" t="s">
        <v>9</v>
      </c>
      <c r="E135" s="47">
        <v>9</v>
      </c>
      <c r="F135" s="47">
        <v>2</v>
      </c>
      <c r="G135" s="47">
        <v>4</v>
      </c>
      <c r="H135" s="47">
        <v>10</v>
      </c>
      <c r="I135" s="47">
        <v>25</v>
      </c>
      <c r="J135" s="47">
        <v>5</v>
      </c>
      <c r="K135" s="47">
        <v>10</v>
      </c>
      <c r="L135" s="47">
        <v>14</v>
      </c>
      <c r="M135" s="48">
        <f t="shared" si="0"/>
        <v>79</v>
      </c>
    </row>
    <row r="136" spans="1:14" ht="15" x14ac:dyDescent="0.25">
      <c r="A136" s="30">
        <v>2</v>
      </c>
      <c r="B136" s="30">
        <v>13521003</v>
      </c>
      <c r="C136" s="31" t="s">
        <v>150</v>
      </c>
      <c r="D136" s="32" t="s">
        <v>9</v>
      </c>
      <c r="E136" s="47">
        <v>9</v>
      </c>
      <c r="F136" s="47">
        <v>3</v>
      </c>
      <c r="G136" s="47">
        <v>3.5</v>
      </c>
      <c r="H136" s="47">
        <v>10</v>
      </c>
      <c r="I136" s="47">
        <v>25</v>
      </c>
      <c r="J136" s="47">
        <v>7.5</v>
      </c>
      <c r="K136" s="47">
        <v>8</v>
      </c>
      <c r="L136" s="47">
        <v>13</v>
      </c>
      <c r="M136" s="48">
        <f t="shared" si="0"/>
        <v>79</v>
      </c>
    </row>
    <row r="137" spans="1:14" ht="15" x14ac:dyDescent="0.25">
      <c r="A137" s="30">
        <v>3</v>
      </c>
      <c r="B137" s="30">
        <v>13521004</v>
      </c>
      <c r="C137" s="31" t="s">
        <v>102</v>
      </c>
      <c r="D137" s="32" t="s">
        <v>9</v>
      </c>
      <c r="E137" s="47">
        <v>9</v>
      </c>
      <c r="F137" s="47">
        <v>3</v>
      </c>
      <c r="G137" s="47">
        <v>4</v>
      </c>
      <c r="H137" s="47">
        <v>10</v>
      </c>
      <c r="I137" s="47">
        <v>25</v>
      </c>
      <c r="J137" s="47">
        <v>7.5</v>
      </c>
      <c r="K137" s="47">
        <v>4.5</v>
      </c>
      <c r="L137" s="47">
        <v>14.5</v>
      </c>
      <c r="M137" s="48">
        <f t="shared" si="0"/>
        <v>77.5</v>
      </c>
    </row>
    <row r="138" spans="1:14" ht="15" x14ac:dyDescent="0.25">
      <c r="A138" s="30">
        <v>4</v>
      </c>
      <c r="B138" s="30">
        <v>13521005</v>
      </c>
      <c r="C138" s="31" t="s">
        <v>177</v>
      </c>
      <c r="D138" s="32" t="s">
        <v>9</v>
      </c>
      <c r="E138" s="47">
        <v>10</v>
      </c>
      <c r="F138" s="47">
        <v>2</v>
      </c>
      <c r="G138" s="47">
        <v>5</v>
      </c>
      <c r="H138" s="47">
        <v>10</v>
      </c>
      <c r="I138" s="47">
        <v>25</v>
      </c>
      <c r="J138" s="47">
        <v>10</v>
      </c>
      <c r="K138" s="47">
        <v>4</v>
      </c>
      <c r="L138" s="47">
        <v>8</v>
      </c>
      <c r="M138" s="48">
        <f t="shared" si="0"/>
        <v>74</v>
      </c>
    </row>
    <row r="139" spans="1:14" ht="15" x14ac:dyDescent="0.25">
      <c r="A139" s="30">
        <v>5</v>
      </c>
      <c r="B139" s="30">
        <v>13521006</v>
      </c>
      <c r="C139" s="31" t="s">
        <v>139</v>
      </c>
      <c r="D139" s="32" t="s">
        <v>9</v>
      </c>
      <c r="E139" s="47">
        <v>8</v>
      </c>
      <c r="F139" s="47">
        <v>3</v>
      </c>
      <c r="G139" s="47">
        <v>5</v>
      </c>
      <c r="H139" s="47">
        <v>10</v>
      </c>
      <c r="I139" s="47">
        <v>25</v>
      </c>
      <c r="J139" s="47">
        <v>7.5</v>
      </c>
      <c r="K139" s="47">
        <v>1</v>
      </c>
      <c r="L139" s="47">
        <v>9</v>
      </c>
      <c r="M139" s="48">
        <f t="shared" si="0"/>
        <v>68.5</v>
      </c>
    </row>
    <row r="140" spans="1:14" ht="15" x14ac:dyDescent="0.25">
      <c r="A140" s="30">
        <v>6</v>
      </c>
      <c r="B140" s="30">
        <v>13521007</v>
      </c>
      <c r="C140" s="31" t="s">
        <v>130</v>
      </c>
      <c r="D140" s="32" t="s">
        <v>9</v>
      </c>
      <c r="E140" s="47">
        <v>8</v>
      </c>
      <c r="F140" s="47">
        <v>8</v>
      </c>
      <c r="G140" s="47">
        <v>5</v>
      </c>
      <c r="H140" s="47">
        <v>10</v>
      </c>
      <c r="I140" s="47">
        <v>25</v>
      </c>
      <c r="J140" s="47">
        <v>5.5</v>
      </c>
      <c r="K140" s="47">
        <v>8</v>
      </c>
      <c r="L140" s="47">
        <v>13.5</v>
      </c>
      <c r="M140" s="48">
        <f t="shared" si="0"/>
        <v>83</v>
      </c>
    </row>
    <row r="141" spans="1:14" ht="15" x14ac:dyDescent="0.25">
      <c r="A141" s="30">
        <v>7</v>
      </c>
      <c r="B141" s="30">
        <v>13521008</v>
      </c>
      <c r="C141" s="31" t="s">
        <v>111</v>
      </c>
      <c r="D141" s="32" t="s">
        <v>9</v>
      </c>
      <c r="E141" s="47">
        <v>5</v>
      </c>
      <c r="F141" s="47">
        <v>8</v>
      </c>
      <c r="G141" s="47">
        <v>5</v>
      </c>
      <c r="H141" s="47">
        <v>10</v>
      </c>
      <c r="I141" s="47">
        <v>25</v>
      </c>
      <c r="J141" s="47">
        <v>10</v>
      </c>
      <c r="K141" s="47">
        <v>8.5</v>
      </c>
      <c r="L141" s="47">
        <v>14</v>
      </c>
      <c r="M141" s="48">
        <f t="shared" si="0"/>
        <v>85.5</v>
      </c>
    </row>
    <row r="142" spans="1:14" ht="15" x14ac:dyDescent="0.25">
      <c r="A142" s="30">
        <v>8</v>
      </c>
      <c r="B142" s="30">
        <v>13521009</v>
      </c>
      <c r="C142" s="31" t="s">
        <v>189</v>
      </c>
      <c r="D142" s="32" t="s">
        <v>9</v>
      </c>
      <c r="E142" s="47">
        <v>7</v>
      </c>
      <c r="F142" s="47">
        <v>2</v>
      </c>
      <c r="G142" s="47">
        <v>5</v>
      </c>
      <c r="H142" s="47">
        <v>10</v>
      </c>
      <c r="I142" s="47">
        <v>20</v>
      </c>
      <c r="J142" s="47">
        <v>7.5</v>
      </c>
      <c r="K142" s="47">
        <v>2.5</v>
      </c>
      <c r="L142" s="47">
        <v>5.5</v>
      </c>
      <c r="M142" s="48">
        <f t="shared" si="0"/>
        <v>59.5</v>
      </c>
    </row>
    <row r="143" spans="1:14" ht="15" x14ac:dyDescent="0.25">
      <c r="A143" s="30">
        <v>9</v>
      </c>
      <c r="B143" s="30">
        <v>13521010</v>
      </c>
      <c r="C143" s="31" t="s">
        <v>152</v>
      </c>
      <c r="D143" s="32" t="s">
        <v>9</v>
      </c>
      <c r="E143" s="47">
        <v>8</v>
      </c>
      <c r="F143" s="47">
        <v>3</v>
      </c>
      <c r="G143" s="47">
        <v>4</v>
      </c>
      <c r="H143" s="47">
        <v>10</v>
      </c>
      <c r="I143" s="47">
        <v>25</v>
      </c>
      <c r="J143" s="47">
        <v>5</v>
      </c>
      <c r="K143" s="47">
        <v>4</v>
      </c>
      <c r="L143" s="47">
        <v>15</v>
      </c>
      <c r="M143" s="48">
        <f t="shared" si="0"/>
        <v>74</v>
      </c>
    </row>
    <row r="144" spans="1:14" ht="15" x14ac:dyDescent="0.25">
      <c r="A144" s="30">
        <v>10</v>
      </c>
      <c r="B144" s="30">
        <v>13521011</v>
      </c>
      <c r="C144" s="31" t="s">
        <v>109</v>
      </c>
      <c r="D144" s="32" t="s">
        <v>9</v>
      </c>
      <c r="E144" s="47">
        <v>10</v>
      </c>
      <c r="F144" s="47">
        <v>3</v>
      </c>
      <c r="G144" s="47">
        <v>5</v>
      </c>
      <c r="H144" s="47">
        <v>10</v>
      </c>
      <c r="I144" s="47">
        <v>25</v>
      </c>
      <c r="J144" s="47">
        <v>5</v>
      </c>
      <c r="K144" s="47">
        <v>10</v>
      </c>
      <c r="L144" s="47">
        <v>14</v>
      </c>
      <c r="M144" s="48">
        <f t="shared" si="0"/>
        <v>82</v>
      </c>
    </row>
    <row r="145" spans="1:13" ht="15" x14ac:dyDescent="0.25">
      <c r="A145" s="30">
        <v>11</v>
      </c>
      <c r="B145" s="30">
        <v>13521012</v>
      </c>
      <c r="C145" s="31" t="s">
        <v>158</v>
      </c>
      <c r="D145" s="32" t="s">
        <v>9</v>
      </c>
      <c r="E145" s="47">
        <v>8</v>
      </c>
      <c r="F145" s="47">
        <v>2</v>
      </c>
      <c r="G145" s="47">
        <v>4</v>
      </c>
      <c r="H145" s="47">
        <v>10</v>
      </c>
      <c r="I145" s="47">
        <v>25</v>
      </c>
      <c r="J145" s="47">
        <v>5</v>
      </c>
      <c r="K145" s="47">
        <v>9.5</v>
      </c>
      <c r="L145" s="47">
        <v>4.5</v>
      </c>
      <c r="M145" s="48">
        <f t="shared" si="0"/>
        <v>68</v>
      </c>
    </row>
    <row r="146" spans="1:13" ht="15" x14ac:dyDescent="0.25">
      <c r="A146" s="30">
        <v>12</v>
      </c>
      <c r="B146" s="30">
        <v>13521013</v>
      </c>
      <c r="C146" s="31" t="s">
        <v>179</v>
      </c>
      <c r="D146" s="32" t="s">
        <v>9</v>
      </c>
      <c r="E146" s="47">
        <v>7</v>
      </c>
      <c r="F146" s="47">
        <v>2</v>
      </c>
      <c r="G146" s="47">
        <v>5</v>
      </c>
      <c r="H146" s="47">
        <v>10</v>
      </c>
      <c r="I146" s="47">
        <v>22.5</v>
      </c>
      <c r="J146" s="47">
        <v>5</v>
      </c>
      <c r="K146" s="47">
        <v>2.5</v>
      </c>
      <c r="L146" s="47">
        <v>15</v>
      </c>
      <c r="M146" s="48">
        <f t="shared" si="0"/>
        <v>69</v>
      </c>
    </row>
    <row r="147" spans="1:13" ht="15" x14ac:dyDescent="0.25">
      <c r="A147" s="30">
        <v>13</v>
      </c>
      <c r="B147" s="30">
        <v>13521014</v>
      </c>
      <c r="C147" s="31" t="s">
        <v>121</v>
      </c>
      <c r="D147" s="32" t="s">
        <v>9</v>
      </c>
      <c r="E147" s="47">
        <v>8</v>
      </c>
      <c r="F147" s="47">
        <v>5</v>
      </c>
      <c r="G147" s="47">
        <v>5</v>
      </c>
      <c r="H147" s="47">
        <v>10</v>
      </c>
      <c r="I147" s="47">
        <v>25</v>
      </c>
      <c r="J147" s="47">
        <v>7.5</v>
      </c>
      <c r="K147" s="47">
        <v>5.5</v>
      </c>
      <c r="L147" s="47">
        <v>15</v>
      </c>
      <c r="M147" s="48">
        <f t="shared" si="0"/>
        <v>81</v>
      </c>
    </row>
    <row r="148" spans="1:13" ht="15" x14ac:dyDescent="0.25">
      <c r="A148" s="30">
        <v>14</v>
      </c>
      <c r="B148" s="30">
        <v>13521015</v>
      </c>
      <c r="C148" s="31" t="s">
        <v>134</v>
      </c>
      <c r="D148" s="32" t="s">
        <v>9</v>
      </c>
      <c r="E148" s="47">
        <v>8.5</v>
      </c>
      <c r="F148" s="47">
        <v>2</v>
      </c>
      <c r="G148" s="47">
        <v>5</v>
      </c>
      <c r="H148" s="47">
        <v>10</v>
      </c>
      <c r="I148" s="47">
        <v>25</v>
      </c>
      <c r="J148" s="47">
        <v>7.5</v>
      </c>
      <c r="K148" s="47">
        <v>7</v>
      </c>
      <c r="L148" s="47">
        <v>8</v>
      </c>
      <c r="M148" s="48">
        <f t="shared" si="0"/>
        <v>73</v>
      </c>
    </row>
    <row r="149" spans="1:13" ht="15" x14ac:dyDescent="0.25">
      <c r="A149" s="30">
        <v>15</v>
      </c>
      <c r="B149" s="30">
        <v>13521016</v>
      </c>
      <c r="C149" s="31" t="s">
        <v>182</v>
      </c>
      <c r="D149" s="32" t="s">
        <v>9</v>
      </c>
      <c r="E149" s="47">
        <v>6</v>
      </c>
      <c r="F149" s="47">
        <v>2</v>
      </c>
      <c r="G149" s="47">
        <v>5</v>
      </c>
      <c r="H149" s="47">
        <v>10</v>
      </c>
      <c r="I149" s="47">
        <v>17.5</v>
      </c>
      <c r="J149" s="47">
        <v>7.5</v>
      </c>
      <c r="K149" s="47">
        <v>3</v>
      </c>
      <c r="L149" s="47">
        <v>14</v>
      </c>
      <c r="M149" s="48">
        <f t="shared" si="0"/>
        <v>65</v>
      </c>
    </row>
    <row r="150" spans="1:13" ht="15" x14ac:dyDescent="0.25">
      <c r="A150" s="30">
        <v>16</v>
      </c>
      <c r="B150" s="30">
        <v>13521018</v>
      </c>
      <c r="C150" s="31" t="s">
        <v>87</v>
      </c>
      <c r="D150" s="32" t="s">
        <v>9</v>
      </c>
      <c r="E150" s="47">
        <v>8</v>
      </c>
      <c r="F150" s="47">
        <v>3</v>
      </c>
      <c r="G150" s="47">
        <v>5</v>
      </c>
      <c r="H150" s="47">
        <v>10</v>
      </c>
      <c r="I150" s="47">
        <v>25</v>
      </c>
      <c r="J150" s="47">
        <v>10</v>
      </c>
      <c r="K150" s="47">
        <v>7</v>
      </c>
      <c r="L150" s="47">
        <v>15</v>
      </c>
      <c r="M150" s="48">
        <f t="shared" si="0"/>
        <v>83</v>
      </c>
    </row>
    <row r="151" spans="1:13" ht="15" x14ac:dyDescent="0.25">
      <c r="A151" s="30">
        <v>17</v>
      </c>
      <c r="B151" s="30">
        <v>13521019</v>
      </c>
      <c r="C151" s="31" t="s">
        <v>120</v>
      </c>
      <c r="D151" s="32" t="s">
        <v>9</v>
      </c>
      <c r="E151" s="47">
        <v>9</v>
      </c>
      <c r="F151" s="47">
        <v>3</v>
      </c>
      <c r="G151" s="47">
        <v>4</v>
      </c>
      <c r="H151" s="47">
        <v>10</v>
      </c>
      <c r="I151" s="47">
        <v>25</v>
      </c>
      <c r="J151" s="47">
        <v>7.5</v>
      </c>
      <c r="K151" s="47">
        <v>9</v>
      </c>
      <c r="L151" s="47">
        <v>14.5</v>
      </c>
      <c r="M151" s="48">
        <f t="shared" si="0"/>
        <v>82</v>
      </c>
    </row>
    <row r="152" spans="1:13" ht="15" x14ac:dyDescent="0.25">
      <c r="A152" s="30">
        <v>18</v>
      </c>
      <c r="B152" s="30">
        <v>13521020</v>
      </c>
      <c r="C152" s="31" t="s">
        <v>198</v>
      </c>
      <c r="D152" s="32" t="s">
        <v>9</v>
      </c>
      <c r="E152" s="47">
        <v>7</v>
      </c>
      <c r="F152" s="47">
        <v>2</v>
      </c>
      <c r="G152" s="47">
        <v>4</v>
      </c>
      <c r="H152" s="47">
        <v>10</v>
      </c>
      <c r="I152" s="47">
        <v>25</v>
      </c>
      <c r="J152" s="47">
        <v>5</v>
      </c>
      <c r="K152" s="47">
        <v>6.5</v>
      </c>
      <c r="L152" s="47">
        <v>4</v>
      </c>
      <c r="M152" s="48">
        <f t="shared" si="0"/>
        <v>63.5</v>
      </c>
    </row>
    <row r="153" spans="1:13" ht="15" x14ac:dyDescent="0.25">
      <c r="A153" s="30">
        <v>19</v>
      </c>
      <c r="B153" s="30">
        <v>13521021</v>
      </c>
      <c r="C153" s="31" t="s">
        <v>72</v>
      </c>
      <c r="D153" s="32" t="s">
        <v>9</v>
      </c>
      <c r="E153" s="47">
        <v>9</v>
      </c>
      <c r="F153" s="47">
        <v>2</v>
      </c>
      <c r="G153" s="47">
        <v>5</v>
      </c>
      <c r="H153" s="47">
        <v>10</v>
      </c>
      <c r="I153" s="47">
        <v>25</v>
      </c>
      <c r="J153" s="47">
        <v>10</v>
      </c>
      <c r="K153" s="47">
        <v>9</v>
      </c>
      <c r="L153" s="47">
        <v>15</v>
      </c>
      <c r="M153" s="48">
        <f t="shared" si="0"/>
        <v>85</v>
      </c>
    </row>
    <row r="154" spans="1:13" ht="15" x14ac:dyDescent="0.25">
      <c r="A154" s="30">
        <v>20</v>
      </c>
      <c r="B154" s="30">
        <v>13521022</v>
      </c>
      <c r="C154" s="31" t="s">
        <v>122</v>
      </c>
      <c r="D154" s="32" t="s">
        <v>9</v>
      </c>
      <c r="E154" s="47">
        <v>7</v>
      </c>
      <c r="F154" s="47">
        <v>2</v>
      </c>
      <c r="G154" s="47">
        <v>5</v>
      </c>
      <c r="H154" s="47">
        <v>10</v>
      </c>
      <c r="I154" s="47">
        <v>25</v>
      </c>
      <c r="J154" s="47">
        <v>7.5</v>
      </c>
      <c r="K154" s="47">
        <v>9.5</v>
      </c>
      <c r="L154" s="47">
        <v>13</v>
      </c>
      <c r="M154" s="48">
        <f t="shared" si="0"/>
        <v>79</v>
      </c>
    </row>
    <row r="155" spans="1:13" ht="15" x14ac:dyDescent="0.25">
      <c r="A155" s="30">
        <v>21</v>
      </c>
      <c r="B155" s="30">
        <v>13521023</v>
      </c>
      <c r="C155" s="31" t="s">
        <v>161</v>
      </c>
      <c r="D155" s="32" t="s">
        <v>9</v>
      </c>
      <c r="E155" s="47">
        <v>8</v>
      </c>
      <c r="F155" s="47">
        <v>2</v>
      </c>
      <c r="G155" s="47">
        <v>5</v>
      </c>
      <c r="H155" s="47">
        <v>10</v>
      </c>
      <c r="I155" s="47">
        <v>20</v>
      </c>
      <c r="J155" s="47">
        <v>5</v>
      </c>
      <c r="K155" s="47">
        <v>8</v>
      </c>
      <c r="L155" s="47">
        <v>15</v>
      </c>
      <c r="M155" s="48">
        <f t="shared" si="0"/>
        <v>73</v>
      </c>
    </row>
    <row r="156" spans="1:13" ht="15" x14ac:dyDescent="0.25">
      <c r="A156" s="30">
        <v>22</v>
      </c>
      <c r="B156" s="30">
        <v>13521024</v>
      </c>
      <c r="C156" s="31" t="s">
        <v>89</v>
      </c>
      <c r="D156" s="32" t="s">
        <v>9</v>
      </c>
      <c r="E156" s="47">
        <v>9</v>
      </c>
      <c r="F156" s="47">
        <v>3</v>
      </c>
      <c r="G156" s="47">
        <v>5</v>
      </c>
      <c r="H156" s="47">
        <v>10</v>
      </c>
      <c r="I156" s="47">
        <v>25</v>
      </c>
      <c r="J156" s="47">
        <v>7.5</v>
      </c>
      <c r="K156" s="47">
        <v>8.5</v>
      </c>
      <c r="L156" s="47">
        <v>11</v>
      </c>
      <c r="M156" s="48">
        <f t="shared" si="0"/>
        <v>79</v>
      </c>
    </row>
    <row r="157" spans="1:13" ht="15" x14ac:dyDescent="0.25">
      <c r="A157" s="30">
        <v>23</v>
      </c>
      <c r="B157" s="30">
        <v>13521025</v>
      </c>
      <c r="C157" s="31" t="s">
        <v>156</v>
      </c>
      <c r="D157" s="32" t="s">
        <v>9</v>
      </c>
      <c r="E157" s="47">
        <v>5</v>
      </c>
      <c r="F157" s="47">
        <v>2</v>
      </c>
      <c r="G157" s="47">
        <v>5</v>
      </c>
      <c r="H157" s="47">
        <v>10</v>
      </c>
      <c r="I157" s="47">
        <v>25</v>
      </c>
      <c r="J157" s="47">
        <v>5</v>
      </c>
      <c r="K157" s="47">
        <v>7</v>
      </c>
      <c r="L157" s="47">
        <v>10.5</v>
      </c>
      <c r="M157" s="48">
        <f t="shared" si="0"/>
        <v>69.5</v>
      </c>
    </row>
    <row r="158" spans="1:13" ht="15" x14ac:dyDescent="0.25">
      <c r="A158" s="30">
        <v>24</v>
      </c>
      <c r="B158" s="30">
        <v>13521026</v>
      </c>
      <c r="C158" s="31" t="s">
        <v>169</v>
      </c>
      <c r="D158" s="32" t="s">
        <v>9</v>
      </c>
      <c r="E158" s="47">
        <v>5</v>
      </c>
      <c r="F158" s="47">
        <v>3</v>
      </c>
      <c r="G158" s="47">
        <v>5</v>
      </c>
      <c r="H158" s="47">
        <v>10</v>
      </c>
      <c r="I158" s="47">
        <v>25</v>
      </c>
      <c r="J158" s="47">
        <v>5</v>
      </c>
      <c r="K158" s="47">
        <v>1</v>
      </c>
      <c r="L158" s="47">
        <v>14</v>
      </c>
      <c r="M158" s="48">
        <f t="shared" si="0"/>
        <v>68</v>
      </c>
    </row>
    <row r="159" spans="1:13" ht="15" x14ac:dyDescent="0.25">
      <c r="A159" s="30">
        <v>25</v>
      </c>
      <c r="B159" s="30">
        <v>13521027</v>
      </c>
      <c r="C159" s="31" t="s">
        <v>145</v>
      </c>
      <c r="D159" s="32" t="s">
        <v>9</v>
      </c>
      <c r="E159" s="47">
        <v>8</v>
      </c>
      <c r="F159" s="47">
        <v>2</v>
      </c>
      <c r="G159" s="47">
        <v>5</v>
      </c>
      <c r="H159" s="47">
        <v>10</v>
      </c>
      <c r="I159" s="47">
        <v>25</v>
      </c>
      <c r="J159" s="47">
        <v>7.5</v>
      </c>
      <c r="K159" s="47">
        <v>5</v>
      </c>
      <c r="L159" s="47">
        <v>8</v>
      </c>
      <c r="M159" s="48">
        <f t="shared" si="0"/>
        <v>70.5</v>
      </c>
    </row>
    <row r="160" spans="1:13" ht="15" x14ac:dyDescent="0.25">
      <c r="A160" s="30">
        <v>26</v>
      </c>
      <c r="B160" s="30">
        <v>13521028</v>
      </c>
      <c r="C160" s="31" t="s">
        <v>187</v>
      </c>
      <c r="D160" s="32" t="s">
        <v>9</v>
      </c>
      <c r="E160" s="47">
        <v>9</v>
      </c>
      <c r="F160" s="47">
        <v>3</v>
      </c>
      <c r="G160" s="47">
        <v>4</v>
      </c>
      <c r="H160" s="47">
        <v>10</v>
      </c>
      <c r="I160" s="47">
        <v>25</v>
      </c>
      <c r="J160" s="47">
        <v>1</v>
      </c>
      <c r="K160" s="47">
        <v>8</v>
      </c>
      <c r="L160" s="47">
        <v>6.5</v>
      </c>
      <c r="M160" s="48">
        <f t="shared" si="0"/>
        <v>66.5</v>
      </c>
    </row>
    <row r="161" spans="1:14" ht="15" x14ac:dyDescent="0.25">
      <c r="A161" s="30">
        <v>27</v>
      </c>
      <c r="B161" s="30">
        <v>13521029</v>
      </c>
      <c r="C161" s="31" t="s">
        <v>188</v>
      </c>
      <c r="D161" s="32" t="s">
        <v>9</v>
      </c>
      <c r="E161" s="47">
        <v>6</v>
      </c>
      <c r="F161" s="47">
        <v>2</v>
      </c>
      <c r="G161" s="47">
        <v>1</v>
      </c>
      <c r="H161" s="47">
        <v>10</v>
      </c>
      <c r="I161" s="47">
        <v>20</v>
      </c>
      <c r="J161" s="47">
        <v>5</v>
      </c>
      <c r="K161" s="47">
        <v>0</v>
      </c>
      <c r="L161" s="47">
        <v>2</v>
      </c>
      <c r="M161" s="48">
        <f t="shared" si="0"/>
        <v>46</v>
      </c>
    </row>
    <row r="162" spans="1:14" ht="15" x14ac:dyDescent="0.25">
      <c r="A162" s="30">
        <v>28</v>
      </c>
      <c r="B162" s="30">
        <v>13521030</v>
      </c>
      <c r="C162" s="31" t="s">
        <v>165</v>
      </c>
      <c r="D162" s="32" t="s">
        <v>9</v>
      </c>
      <c r="E162" s="47">
        <v>4.5</v>
      </c>
      <c r="F162" s="47">
        <v>2</v>
      </c>
      <c r="G162" s="47">
        <v>5</v>
      </c>
      <c r="H162" s="47">
        <v>10</v>
      </c>
      <c r="I162" s="47">
        <v>25</v>
      </c>
      <c r="J162" s="47">
        <v>5</v>
      </c>
      <c r="K162" s="47">
        <v>6.5</v>
      </c>
      <c r="L162" s="47">
        <v>15</v>
      </c>
      <c r="M162" s="48">
        <f t="shared" si="0"/>
        <v>73</v>
      </c>
    </row>
    <row r="163" spans="1:14" ht="15" x14ac:dyDescent="0.25">
      <c r="A163" s="30">
        <v>29</v>
      </c>
      <c r="B163" s="30">
        <v>13521031</v>
      </c>
      <c r="C163" s="31" t="s">
        <v>136</v>
      </c>
      <c r="D163" s="32" t="s">
        <v>9</v>
      </c>
      <c r="E163" s="47">
        <v>8</v>
      </c>
      <c r="F163" s="47">
        <v>2</v>
      </c>
      <c r="G163" s="47">
        <v>5</v>
      </c>
      <c r="H163" s="47">
        <v>10</v>
      </c>
      <c r="I163" s="47">
        <v>25</v>
      </c>
      <c r="J163" s="47">
        <v>7.9</v>
      </c>
      <c r="K163" s="47">
        <v>9</v>
      </c>
      <c r="L163" s="47">
        <v>8</v>
      </c>
      <c r="M163" s="48">
        <f t="shared" si="0"/>
        <v>74.900000000000006</v>
      </c>
      <c r="N163" s="46">
        <f>AVERAGE(M135:M163)</f>
        <v>73.479310344827596</v>
      </c>
    </row>
    <row r="164" spans="1:14" ht="12.75" x14ac:dyDescent="0.2">
      <c r="M164" s="46"/>
    </row>
    <row r="165" spans="1:14" ht="12.75" x14ac:dyDescent="0.2">
      <c r="M165" s="46"/>
    </row>
    <row r="166" spans="1:14" ht="12.75" x14ac:dyDescent="0.2">
      <c r="M166" s="46"/>
    </row>
    <row r="167" spans="1:14" ht="12.75" x14ac:dyDescent="0.2">
      <c r="M167" s="46"/>
    </row>
    <row r="168" spans="1:14" ht="12.75" x14ac:dyDescent="0.2">
      <c r="M168" s="46"/>
    </row>
    <row r="169" spans="1:14" ht="12.75" x14ac:dyDescent="0.2">
      <c r="M169" s="46"/>
    </row>
    <row r="170" spans="1:14" ht="12.75" x14ac:dyDescent="0.2">
      <c r="M170" s="46"/>
    </row>
    <row r="171" spans="1:14" ht="12.75" x14ac:dyDescent="0.2">
      <c r="M171" s="46"/>
    </row>
    <row r="172" spans="1:14" ht="12.75" x14ac:dyDescent="0.2">
      <c r="M172" s="46"/>
    </row>
    <row r="173" spans="1:14" ht="12.75" x14ac:dyDescent="0.2">
      <c r="M173" s="46"/>
    </row>
    <row r="174" spans="1:14" ht="12.75" x14ac:dyDescent="0.2">
      <c r="M174" s="46"/>
    </row>
    <row r="175" spans="1:14" ht="12.75" x14ac:dyDescent="0.2">
      <c r="M175" s="46"/>
    </row>
    <row r="176" spans="1:14" ht="12.75" x14ac:dyDescent="0.2">
      <c r="M176" s="46"/>
    </row>
    <row r="177" spans="13:13" ht="12.75" x14ac:dyDescent="0.2">
      <c r="M177" s="46"/>
    </row>
    <row r="178" spans="13:13" ht="12.75" x14ac:dyDescent="0.2">
      <c r="M178" s="46"/>
    </row>
    <row r="179" spans="13:13" ht="12.75" x14ac:dyDescent="0.2">
      <c r="M179" s="46"/>
    </row>
    <row r="180" spans="13:13" ht="12.75" x14ac:dyDescent="0.2">
      <c r="M180" s="46"/>
    </row>
    <row r="181" spans="13:13" ht="12.75" x14ac:dyDescent="0.2">
      <c r="M181" s="46"/>
    </row>
    <row r="182" spans="13:13" ht="12.75" x14ac:dyDescent="0.2">
      <c r="M182" s="46"/>
    </row>
    <row r="183" spans="13:13" ht="12.75" x14ac:dyDescent="0.2">
      <c r="M183" s="46"/>
    </row>
    <row r="184" spans="13:13" ht="12.75" x14ac:dyDescent="0.2">
      <c r="M184" s="46"/>
    </row>
    <row r="185" spans="13:13" ht="12.75" x14ac:dyDescent="0.2">
      <c r="M185" s="46"/>
    </row>
    <row r="186" spans="13:13" ht="12.75" x14ac:dyDescent="0.2">
      <c r="M186" s="46"/>
    </row>
    <row r="187" spans="13:13" ht="12.75" x14ac:dyDescent="0.2">
      <c r="M187" s="46"/>
    </row>
    <row r="188" spans="13:13" ht="12.75" x14ac:dyDescent="0.2">
      <c r="M188" s="46"/>
    </row>
    <row r="189" spans="13:13" ht="12.75" x14ac:dyDescent="0.2">
      <c r="M189" s="46"/>
    </row>
    <row r="190" spans="13:13" ht="12.75" x14ac:dyDescent="0.2">
      <c r="M190" s="46"/>
    </row>
    <row r="191" spans="13:13" ht="12.75" x14ac:dyDescent="0.2">
      <c r="M191" s="46"/>
    </row>
    <row r="192" spans="13:13" ht="12.75" x14ac:dyDescent="0.2">
      <c r="M192" s="46"/>
    </row>
    <row r="193" spans="13:13" ht="12.75" x14ac:dyDescent="0.2">
      <c r="M193" s="46"/>
    </row>
    <row r="194" spans="13:13" ht="12.75" x14ac:dyDescent="0.2">
      <c r="M194" s="46"/>
    </row>
    <row r="195" spans="13:13" ht="12.75" x14ac:dyDescent="0.2">
      <c r="M195" s="46"/>
    </row>
    <row r="196" spans="13:13" ht="12.75" x14ac:dyDescent="0.2">
      <c r="M196" s="46"/>
    </row>
    <row r="197" spans="13:13" ht="12.75" x14ac:dyDescent="0.2">
      <c r="M197" s="46"/>
    </row>
    <row r="198" spans="13:13" ht="12.75" x14ac:dyDescent="0.2">
      <c r="M198" s="46"/>
    </row>
    <row r="199" spans="13:13" ht="12.75" x14ac:dyDescent="0.2">
      <c r="M199" s="46"/>
    </row>
    <row r="200" spans="13:13" ht="12.75" x14ac:dyDescent="0.2">
      <c r="M200" s="46"/>
    </row>
    <row r="201" spans="13:13" ht="12.75" x14ac:dyDescent="0.2">
      <c r="M201" s="46"/>
    </row>
    <row r="202" spans="13:13" ht="12.75" x14ac:dyDescent="0.2">
      <c r="M202" s="46"/>
    </row>
    <row r="203" spans="13:13" ht="12.75" x14ac:dyDescent="0.2">
      <c r="M203" s="46"/>
    </row>
    <row r="204" spans="13:13" ht="12.75" x14ac:dyDescent="0.2">
      <c r="M204" s="46"/>
    </row>
    <row r="205" spans="13:13" ht="12.75" x14ac:dyDescent="0.2">
      <c r="M205" s="46"/>
    </row>
    <row r="206" spans="13:13" ht="12.75" x14ac:dyDescent="0.2">
      <c r="M206" s="46"/>
    </row>
    <row r="207" spans="13:13" ht="12.75" x14ac:dyDescent="0.2">
      <c r="M207" s="46"/>
    </row>
    <row r="208" spans="13:13" ht="12.75" x14ac:dyDescent="0.2">
      <c r="M208" s="46"/>
    </row>
    <row r="209" spans="13:13" ht="12.75" x14ac:dyDescent="0.2">
      <c r="M209" s="46"/>
    </row>
    <row r="210" spans="13:13" ht="12.75" x14ac:dyDescent="0.2">
      <c r="M210" s="46"/>
    </row>
    <row r="211" spans="13:13" ht="12.75" x14ac:dyDescent="0.2">
      <c r="M211" s="46"/>
    </row>
    <row r="212" spans="13:13" ht="12.75" x14ac:dyDescent="0.2">
      <c r="M212" s="46"/>
    </row>
    <row r="213" spans="13:13" ht="12.75" x14ac:dyDescent="0.2">
      <c r="M213" s="46"/>
    </row>
    <row r="214" spans="13:13" ht="12.75" x14ac:dyDescent="0.2">
      <c r="M214" s="46"/>
    </row>
    <row r="215" spans="13:13" ht="12.75" x14ac:dyDescent="0.2">
      <c r="M215" s="46"/>
    </row>
    <row r="216" spans="13:13" ht="12.75" x14ac:dyDescent="0.2">
      <c r="M216" s="46"/>
    </row>
    <row r="217" spans="13:13" ht="12.75" x14ac:dyDescent="0.2">
      <c r="M217" s="46"/>
    </row>
    <row r="218" spans="13:13" ht="12.75" x14ac:dyDescent="0.2">
      <c r="M218" s="46"/>
    </row>
    <row r="219" spans="13:13" ht="12.75" x14ac:dyDescent="0.2">
      <c r="M219" s="46"/>
    </row>
    <row r="220" spans="13:13" ht="12.75" x14ac:dyDescent="0.2">
      <c r="M220" s="46"/>
    </row>
    <row r="221" spans="13:13" ht="12.75" x14ac:dyDescent="0.2">
      <c r="M221" s="46"/>
    </row>
    <row r="222" spans="13:13" ht="12.75" x14ac:dyDescent="0.2">
      <c r="M222" s="46"/>
    </row>
    <row r="223" spans="13:13" ht="12.75" x14ac:dyDescent="0.2">
      <c r="M223" s="46"/>
    </row>
    <row r="224" spans="13:13" ht="12.75" x14ac:dyDescent="0.2">
      <c r="M224" s="46"/>
    </row>
    <row r="225" spans="13:13" ht="12.75" x14ac:dyDescent="0.2">
      <c r="M225" s="46"/>
    </row>
    <row r="226" spans="13:13" ht="12.75" x14ac:dyDescent="0.2">
      <c r="M226" s="46"/>
    </row>
    <row r="227" spans="13:13" ht="12.75" x14ac:dyDescent="0.2">
      <c r="M227" s="46"/>
    </row>
    <row r="228" spans="13:13" ht="12.75" x14ac:dyDescent="0.2">
      <c r="M228" s="46"/>
    </row>
    <row r="229" spans="13:13" ht="12.75" x14ac:dyDescent="0.2">
      <c r="M229" s="46"/>
    </row>
    <row r="230" spans="13:13" ht="12.75" x14ac:dyDescent="0.2">
      <c r="M230" s="46"/>
    </row>
    <row r="231" spans="13:13" ht="12.75" x14ac:dyDescent="0.2">
      <c r="M231" s="46"/>
    </row>
    <row r="232" spans="13:13" ht="12.75" x14ac:dyDescent="0.2">
      <c r="M232" s="46"/>
    </row>
    <row r="233" spans="13:13" ht="12.75" x14ac:dyDescent="0.2">
      <c r="M233" s="46"/>
    </row>
    <row r="234" spans="13:13" ht="12.75" x14ac:dyDescent="0.2">
      <c r="M234" s="46"/>
    </row>
    <row r="235" spans="13:13" ht="12.75" x14ac:dyDescent="0.2">
      <c r="M235" s="46"/>
    </row>
    <row r="236" spans="13:13" ht="12.75" x14ac:dyDescent="0.2">
      <c r="M236" s="46"/>
    </row>
    <row r="237" spans="13:13" ht="12.75" x14ac:dyDescent="0.2">
      <c r="M237" s="46"/>
    </row>
    <row r="238" spans="13:13" ht="12.75" x14ac:dyDescent="0.2">
      <c r="M238" s="46"/>
    </row>
    <row r="239" spans="13:13" ht="12.75" x14ac:dyDescent="0.2">
      <c r="M239" s="46"/>
    </row>
    <row r="240" spans="13:13" ht="12.75" x14ac:dyDescent="0.2">
      <c r="M240" s="46"/>
    </row>
    <row r="241" spans="13:13" ht="12.75" x14ac:dyDescent="0.2">
      <c r="M241" s="46"/>
    </row>
    <row r="242" spans="13:13" ht="12.75" x14ac:dyDescent="0.2">
      <c r="M242" s="46"/>
    </row>
    <row r="243" spans="13:13" ht="12.75" x14ac:dyDescent="0.2">
      <c r="M243" s="46"/>
    </row>
    <row r="244" spans="13:13" ht="12.75" x14ac:dyDescent="0.2">
      <c r="M244" s="46"/>
    </row>
    <row r="245" spans="13:13" ht="12.75" x14ac:dyDescent="0.2">
      <c r="M245" s="46"/>
    </row>
    <row r="246" spans="13:13" ht="12.75" x14ac:dyDescent="0.2">
      <c r="M246" s="46"/>
    </row>
    <row r="247" spans="13:13" ht="12.75" x14ac:dyDescent="0.2">
      <c r="M247" s="46"/>
    </row>
    <row r="248" spans="13:13" ht="12.75" x14ac:dyDescent="0.2">
      <c r="M248" s="46"/>
    </row>
    <row r="249" spans="13:13" ht="12.75" x14ac:dyDescent="0.2">
      <c r="M249" s="46"/>
    </row>
    <row r="250" spans="13:13" ht="12.75" x14ac:dyDescent="0.2">
      <c r="M250" s="46"/>
    </row>
    <row r="251" spans="13:13" ht="12.75" x14ac:dyDescent="0.2">
      <c r="M251" s="46"/>
    </row>
    <row r="252" spans="13:13" ht="12.75" x14ac:dyDescent="0.2">
      <c r="M252" s="46"/>
    </row>
    <row r="253" spans="13:13" ht="12.75" x14ac:dyDescent="0.2">
      <c r="M253" s="46"/>
    </row>
    <row r="254" spans="13:13" ht="12.75" x14ac:dyDescent="0.2">
      <c r="M254" s="46"/>
    </row>
    <row r="255" spans="13:13" ht="12.75" x14ac:dyDescent="0.2">
      <c r="M255" s="46"/>
    </row>
    <row r="256" spans="13:13" ht="12.75" x14ac:dyDescent="0.2">
      <c r="M256" s="46"/>
    </row>
    <row r="257" spans="13:13" ht="12.75" x14ac:dyDescent="0.2">
      <c r="M257" s="46"/>
    </row>
    <row r="258" spans="13:13" ht="12.75" x14ac:dyDescent="0.2">
      <c r="M258" s="46"/>
    </row>
    <row r="259" spans="13:13" ht="12.75" x14ac:dyDescent="0.2">
      <c r="M259" s="46"/>
    </row>
    <row r="260" spans="13:13" ht="12.75" x14ac:dyDescent="0.2">
      <c r="M260" s="46"/>
    </row>
    <row r="261" spans="13:13" ht="12.75" x14ac:dyDescent="0.2">
      <c r="M261" s="46"/>
    </row>
    <row r="262" spans="13:13" ht="12.75" x14ac:dyDescent="0.2">
      <c r="M262" s="46"/>
    </row>
    <row r="263" spans="13:13" ht="12.75" x14ac:dyDescent="0.2">
      <c r="M263" s="46"/>
    </row>
    <row r="264" spans="13:13" ht="12.75" x14ac:dyDescent="0.2">
      <c r="M264" s="46"/>
    </row>
    <row r="265" spans="13:13" ht="12.75" x14ac:dyDescent="0.2">
      <c r="M265" s="46"/>
    </row>
    <row r="266" spans="13:13" ht="12.75" x14ac:dyDescent="0.2">
      <c r="M266" s="46"/>
    </row>
    <row r="267" spans="13:13" ht="12.75" x14ac:dyDescent="0.2">
      <c r="M267" s="46"/>
    </row>
    <row r="268" spans="13:13" ht="12.75" x14ac:dyDescent="0.2">
      <c r="M268" s="46"/>
    </row>
    <row r="269" spans="13:13" ht="12.75" x14ac:dyDescent="0.2">
      <c r="M269" s="46"/>
    </row>
    <row r="270" spans="13:13" ht="12.75" x14ac:dyDescent="0.2">
      <c r="M270" s="46"/>
    </row>
    <row r="271" spans="13:13" ht="12.75" x14ac:dyDescent="0.2">
      <c r="M271" s="46"/>
    </row>
    <row r="272" spans="13:13" ht="12.75" x14ac:dyDescent="0.2">
      <c r="M272" s="46"/>
    </row>
    <row r="273" spans="13:13" ht="12.75" x14ac:dyDescent="0.2">
      <c r="M273" s="46"/>
    </row>
    <row r="274" spans="13:13" ht="12.75" x14ac:dyDescent="0.2">
      <c r="M274" s="46"/>
    </row>
    <row r="275" spans="13:13" ht="12.75" x14ac:dyDescent="0.2">
      <c r="M275" s="46"/>
    </row>
    <row r="276" spans="13:13" ht="12.75" x14ac:dyDescent="0.2">
      <c r="M276" s="46"/>
    </row>
    <row r="277" spans="13:13" ht="12.75" x14ac:dyDescent="0.2">
      <c r="M277" s="46"/>
    </row>
    <row r="278" spans="13:13" ht="12.75" x14ac:dyDescent="0.2">
      <c r="M278" s="46"/>
    </row>
    <row r="279" spans="13:13" ht="12.75" x14ac:dyDescent="0.2">
      <c r="M279" s="46"/>
    </row>
    <row r="280" spans="13:13" ht="12.75" x14ac:dyDescent="0.2">
      <c r="M280" s="46"/>
    </row>
    <row r="281" spans="13:13" ht="12.75" x14ac:dyDescent="0.2">
      <c r="M281" s="46"/>
    </row>
    <row r="282" spans="13:13" ht="12.75" x14ac:dyDescent="0.2">
      <c r="M282" s="46"/>
    </row>
    <row r="283" spans="13:13" ht="12.75" x14ac:dyDescent="0.2">
      <c r="M283" s="46"/>
    </row>
    <row r="284" spans="13:13" ht="12.75" x14ac:dyDescent="0.2">
      <c r="M284" s="46"/>
    </row>
    <row r="285" spans="13:13" ht="12.75" x14ac:dyDescent="0.2">
      <c r="M285" s="46"/>
    </row>
    <row r="286" spans="13:13" ht="12.75" x14ac:dyDescent="0.2">
      <c r="M286" s="46"/>
    </row>
    <row r="287" spans="13:13" ht="12.75" x14ac:dyDescent="0.2">
      <c r="M287" s="46"/>
    </row>
    <row r="288" spans="13:13" ht="12.75" x14ac:dyDescent="0.2">
      <c r="M288" s="46"/>
    </row>
    <row r="289" spans="13:13" ht="12.75" x14ac:dyDescent="0.2">
      <c r="M289" s="46"/>
    </row>
    <row r="290" spans="13:13" ht="12.75" x14ac:dyDescent="0.2">
      <c r="M290" s="46"/>
    </row>
    <row r="291" spans="13:13" ht="12.75" x14ac:dyDescent="0.2">
      <c r="M291" s="46"/>
    </row>
    <row r="292" spans="13:13" ht="12.75" x14ac:dyDescent="0.2">
      <c r="M292" s="46"/>
    </row>
    <row r="293" spans="13:13" ht="12.75" x14ac:dyDescent="0.2">
      <c r="M293" s="46"/>
    </row>
    <row r="294" spans="13:13" ht="12.75" x14ac:dyDescent="0.2">
      <c r="M294" s="46"/>
    </row>
    <row r="295" spans="13:13" ht="12.75" x14ac:dyDescent="0.2">
      <c r="M295" s="46"/>
    </row>
    <row r="296" spans="13:13" ht="12.75" x14ac:dyDescent="0.2">
      <c r="M296" s="46"/>
    </row>
    <row r="297" spans="13:13" ht="12.75" x14ac:dyDescent="0.2">
      <c r="M297" s="46"/>
    </row>
    <row r="298" spans="13:13" ht="12.75" x14ac:dyDescent="0.2">
      <c r="M298" s="46"/>
    </row>
    <row r="299" spans="13:13" ht="12.75" x14ac:dyDescent="0.2">
      <c r="M299" s="46"/>
    </row>
    <row r="300" spans="13:13" ht="12.75" x14ac:dyDescent="0.2">
      <c r="M300" s="46"/>
    </row>
    <row r="301" spans="13:13" ht="12.75" x14ac:dyDescent="0.2">
      <c r="M301" s="46"/>
    </row>
    <row r="302" spans="13:13" ht="12.75" x14ac:dyDescent="0.2">
      <c r="M302" s="46"/>
    </row>
    <row r="303" spans="13:13" ht="12.75" x14ac:dyDescent="0.2">
      <c r="M303" s="46"/>
    </row>
    <row r="304" spans="13:13" ht="12.75" x14ac:dyDescent="0.2">
      <c r="M304" s="46"/>
    </row>
    <row r="305" spans="13:13" ht="12.75" x14ac:dyDescent="0.2">
      <c r="M305" s="46"/>
    </row>
    <row r="306" spans="13:13" ht="12.75" x14ac:dyDescent="0.2">
      <c r="M306" s="46"/>
    </row>
    <row r="307" spans="13:13" ht="12.75" x14ac:dyDescent="0.2">
      <c r="M307" s="46"/>
    </row>
    <row r="308" spans="13:13" ht="12.75" x14ac:dyDescent="0.2">
      <c r="M308" s="46"/>
    </row>
    <row r="309" spans="13:13" ht="12.75" x14ac:dyDescent="0.2">
      <c r="M309" s="46"/>
    </row>
    <row r="310" spans="13:13" ht="12.75" x14ac:dyDescent="0.2">
      <c r="M310" s="46"/>
    </row>
    <row r="311" spans="13:13" ht="12.75" x14ac:dyDescent="0.2">
      <c r="M311" s="46"/>
    </row>
    <row r="312" spans="13:13" ht="12.75" x14ac:dyDescent="0.2">
      <c r="M312" s="46"/>
    </row>
    <row r="313" spans="13:13" ht="12.75" x14ac:dyDescent="0.2">
      <c r="M313" s="46"/>
    </row>
    <row r="314" spans="13:13" ht="12.75" x14ac:dyDescent="0.2">
      <c r="M314" s="46"/>
    </row>
    <row r="315" spans="13:13" ht="12.75" x14ac:dyDescent="0.2">
      <c r="M315" s="46"/>
    </row>
    <row r="316" spans="13:13" ht="12.75" x14ac:dyDescent="0.2">
      <c r="M316" s="46"/>
    </row>
    <row r="317" spans="13:13" ht="12.75" x14ac:dyDescent="0.2">
      <c r="M317" s="46"/>
    </row>
    <row r="318" spans="13:13" ht="12.75" x14ac:dyDescent="0.2">
      <c r="M318" s="46"/>
    </row>
    <row r="319" spans="13:13" ht="12.75" x14ac:dyDescent="0.2">
      <c r="M319" s="46"/>
    </row>
    <row r="320" spans="13:13" ht="12.75" x14ac:dyDescent="0.2">
      <c r="M320" s="46"/>
    </row>
    <row r="321" spans="13:13" ht="12.75" x14ac:dyDescent="0.2">
      <c r="M321" s="46"/>
    </row>
    <row r="322" spans="13:13" ht="12.75" x14ac:dyDescent="0.2">
      <c r="M322" s="46"/>
    </row>
    <row r="323" spans="13:13" ht="12.75" x14ac:dyDescent="0.2">
      <c r="M323" s="46"/>
    </row>
    <row r="324" spans="13:13" ht="12.75" x14ac:dyDescent="0.2">
      <c r="M324" s="46"/>
    </row>
    <row r="325" spans="13:13" ht="12.75" x14ac:dyDescent="0.2">
      <c r="M325" s="46"/>
    </row>
    <row r="326" spans="13:13" ht="12.75" x14ac:dyDescent="0.2">
      <c r="M326" s="46"/>
    </row>
    <row r="327" spans="13:13" ht="12.75" x14ac:dyDescent="0.2">
      <c r="M327" s="46"/>
    </row>
    <row r="328" spans="13:13" ht="12.75" x14ac:dyDescent="0.2">
      <c r="M328" s="46"/>
    </row>
    <row r="329" spans="13:13" ht="12.75" x14ac:dyDescent="0.2">
      <c r="M329" s="46"/>
    </row>
    <row r="330" spans="13:13" ht="12.75" x14ac:dyDescent="0.2">
      <c r="M330" s="46"/>
    </row>
    <row r="331" spans="13:13" ht="12.75" x14ac:dyDescent="0.2">
      <c r="M331" s="46"/>
    </row>
    <row r="332" spans="13:13" ht="12.75" x14ac:dyDescent="0.2">
      <c r="M332" s="46"/>
    </row>
    <row r="333" spans="13:13" ht="12.75" x14ac:dyDescent="0.2">
      <c r="M333" s="46"/>
    </row>
    <row r="334" spans="13:13" ht="12.75" x14ac:dyDescent="0.2">
      <c r="M334" s="46"/>
    </row>
    <row r="335" spans="13:13" ht="12.75" x14ac:dyDescent="0.2">
      <c r="M335" s="46"/>
    </row>
    <row r="336" spans="13:13" ht="12.75" x14ac:dyDescent="0.2">
      <c r="M336" s="46"/>
    </row>
    <row r="337" spans="13:13" ht="12.75" x14ac:dyDescent="0.2">
      <c r="M337" s="46"/>
    </row>
    <row r="338" spans="13:13" ht="12.75" x14ac:dyDescent="0.2">
      <c r="M338" s="46"/>
    </row>
    <row r="339" spans="13:13" ht="12.75" x14ac:dyDescent="0.2">
      <c r="M339" s="46"/>
    </row>
    <row r="340" spans="13:13" ht="12.75" x14ac:dyDescent="0.2">
      <c r="M340" s="46"/>
    </row>
    <row r="341" spans="13:13" ht="12.75" x14ac:dyDescent="0.2">
      <c r="M341" s="46"/>
    </row>
    <row r="342" spans="13:13" ht="12.75" x14ac:dyDescent="0.2">
      <c r="M342" s="46"/>
    </row>
    <row r="343" spans="13:13" ht="12.75" x14ac:dyDescent="0.2">
      <c r="M343" s="46"/>
    </row>
    <row r="344" spans="13:13" ht="12.75" x14ac:dyDescent="0.2">
      <c r="M344" s="46"/>
    </row>
    <row r="345" spans="13:13" ht="12.75" x14ac:dyDescent="0.2">
      <c r="M345" s="46"/>
    </row>
    <row r="346" spans="13:13" ht="12.75" x14ac:dyDescent="0.2">
      <c r="M346" s="46"/>
    </row>
    <row r="347" spans="13:13" ht="12.75" x14ac:dyDescent="0.2">
      <c r="M347" s="46"/>
    </row>
    <row r="348" spans="13:13" ht="12.75" x14ac:dyDescent="0.2">
      <c r="M348" s="46"/>
    </row>
    <row r="349" spans="13:13" ht="12.75" x14ac:dyDescent="0.2">
      <c r="M349" s="46"/>
    </row>
    <row r="350" spans="13:13" ht="12.75" x14ac:dyDescent="0.2">
      <c r="M350" s="46"/>
    </row>
    <row r="351" spans="13:13" ht="12.75" x14ac:dyDescent="0.2">
      <c r="M351" s="46"/>
    </row>
    <row r="352" spans="13:13" ht="12.75" x14ac:dyDescent="0.2">
      <c r="M352" s="46"/>
    </row>
    <row r="353" spans="13:13" ht="12.75" x14ac:dyDescent="0.2">
      <c r="M353" s="46"/>
    </row>
    <row r="354" spans="13:13" ht="12.75" x14ac:dyDescent="0.2">
      <c r="M354" s="46"/>
    </row>
    <row r="355" spans="13:13" ht="12.75" x14ac:dyDescent="0.2">
      <c r="M355" s="46"/>
    </row>
    <row r="356" spans="13:13" ht="12.75" x14ac:dyDescent="0.2">
      <c r="M356" s="46"/>
    </row>
    <row r="357" spans="13:13" ht="12.75" x14ac:dyDescent="0.2">
      <c r="M357" s="46"/>
    </row>
    <row r="358" spans="13:13" ht="12.75" x14ac:dyDescent="0.2">
      <c r="M358" s="46"/>
    </row>
    <row r="359" spans="13:13" ht="12.75" x14ac:dyDescent="0.2">
      <c r="M359" s="46"/>
    </row>
    <row r="360" spans="13:13" ht="12.75" x14ac:dyDescent="0.2">
      <c r="M360" s="46"/>
    </row>
    <row r="361" spans="13:13" ht="12.75" x14ac:dyDescent="0.2">
      <c r="M361" s="46"/>
    </row>
    <row r="362" spans="13:13" ht="12.75" x14ac:dyDescent="0.2">
      <c r="M362" s="46"/>
    </row>
    <row r="363" spans="13:13" ht="12.75" x14ac:dyDescent="0.2">
      <c r="M363" s="46"/>
    </row>
    <row r="364" spans="13:13" ht="12.75" x14ac:dyDescent="0.2">
      <c r="M364" s="46"/>
    </row>
    <row r="365" spans="13:13" ht="12.75" x14ac:dyDescent="0.2">
      <c r="M365" s="46"/>
    </row>
    <row r="366" spans="13:13" ht="12.75" x14ac:dyDescent="0.2">
      <c r="M366" s="46"/>
    </row>
    <row r="367" spans="13:13" ht="12.75" x14ac:dyDescent="0.2">
      <c r="M367" s="46"/>
    </row>
    <row r="368" spans="13:13" ht="12.75" x14ac:dyDescent="0.2">
      <c r="M368" s="46"/>
    </row>
    <row r="369" spans="13:13" ht="12.75" x14ac:dyDescent="0.2">
      <c r="M369" s="46"/>
    </row>
    <row r="370" spans="13:13" ht="12.75" x14ac:dyDescent="0.2">
      <c r="M370" s="46"/>
    </row>
    <row r="371" spans="13:13" ht="12.75" x14ac:dyDescent="0.2">
      <c r="M371" s="46"/>
    </row>
    <row r="372" spans="13:13" ht="12.75" x14ac:dyDescent="0.2">
      <c r="M372" s="46"/>
    </row>
    <row r="373" spans="13:13" ht="12.75" x14ac:dyDescent="0.2">
      <c r="M373" s="46"/>
    </row>
    <row r="374" spans="13:13" ht="12.75" x14ac:dyDescent="0.2">
      <c r="M374" s="46"/>
    </row>
    <row r="375" spans="13:13" ht="12.75" x14ac:dyDescent="0.2">
      <c r="M375" s="46"/>
    </row>
    <row r="376" spans="13:13" ht="12.75" x14ac:dyDescent="0.2">
      <c r="M376" s="46"/>
    </row>
    <row r="377" spans="13:13" ht="12.75" x14ac:dyDescent="0.2">
      <c r="M377" s="46"/>
    </row>
    <row r="378" spans="13:13" ht="12.75" x14ac:dyDescent="0.2">
      <c r="M378" s="46"/>
    </row>
    <row r="379" spans="13:13" ht="12.75" x14ac:dyDescent="0.2">
      <c r="M379" s="46"/>
    </row>
    <row r="380" spans="13:13" ht="12.75" x14ac:dyDescent="0.2">
      <c r="M380" s="46"/>
    </row>
    <row r="381" spans="13:13" ht="12.75" x14ac:dyDescent="0.2">
      <c r="M381" s="46"/>
    </row>
    <row r="382" spans="13:13" ht="12.75" x14ac:dyDescent="0.2">
      <c r="M382" s="46"/>
    </row>
    <row r="383" spans="13:13" ht="12.75" x14ac:dyDescent="0.2">
      <c r="M383" s="46"/>
    </row>
    <row r="384" spans="13:13" ht="12.75" x14ac:dyDescent="0.2">
      <c r="M384" s="46"/>
    </row>
    <row r="385" spans="13:13" ht="12.75" x14ac:dyDescent="0.2">
      <c r="M385" s="46"/>
    </row>
    <row r="386" spans="13:13" ht="12.75" x14ac:dyDescent="0.2">
      <c r="M386" s="46"/>
    </row>
    <row r="387" spans="13:13" ht="12.75" x14ac:dyDescent="0.2">
      <c r="M387" s="46"/>
    </row>
    <row r="388" spans="13:13" ht="12.75" x14ac:dyDescent="0.2">
      <c r="M388" s="46"/>
    </row>
    <row r="389" spans="13:13" ht="12.75" x14ac:dyDescent="0.2">
      <c r="M389" s="46"/>
    </row>
    <row r="390" spans="13:13" ht="12.75" x14ac:dyDescent="0.2">
      <c r="M390" s="46"/>
    </row>
    <row r="391" spans="13:13" ht="12.75" x14ac:dyDescent="0.2">
      <c r="M391" s="46"/>
    </row>
    <row r="392" spans="13:13" ht="12.75" x14ac:dyDescent="0.2">
      <c r="M392" s="46"/>
    </row>
    <row r="393" spans="13:13" ht="12.75" x14ac:dyDescent="0.2">
      <c r="M393" s="46"/>
    </row>
    <row r="394" spans="13:13" ht="12.75" x14ac:dyDescent="0.2">
      <c r="M394" s="46"/>
    </row>
    <row r="395" spans="13:13" ht="12.75" x14ac:dyDescent="0.2">
      <c r="M395" s="46"/>
    </row>
    <row r="396" spans="13:13" ht="12.75" x14ac:dyDescent="0.2">
      <c r="M396" s="46"/>
    </row>
    <row r="397" spans="13:13" ht="12.75" x14ac:dyDescent="0.2">
      <c r="M397" s="46"/>
    </row>
    <row r="398" spans="13:13" ht="12.75" x14ac:dyDescent="0.2">
      <c r="M398" s="46"/>
    </row>
    <row r="399" spans="13:13" ht="12.75" x14ac:dyDescent="0.2">
      <c r="M399" s="46"/>
    </row>
    <row r="400" spans="13:13" ht="12.75" x14ac:dyDescent="0.2">
      <c r="M400" s="46"/>
    </row>
    <row r="401" spans="13:13" ht="12.75" x14ac:dyDescent="0.2">
      <c r="M401" s="46"/>
    </row>
    <row r="402" spans="13:13" ht="12.75" x14ac:dyDescent="0.2">
      <c r="M402" s="46"/>
    </row>
    <row r="403" spans="13:13" ht="12.75" x14ac:dyDescent="0.2">
      <c r="M403" s="46"/>
    </row>
    <row r="404" spans="13:13" ht="12.75" x14ac:dyDescent="0.2">
      <c r="M404" s="46"/>
    </row>
    <row r="405" spans="13:13" ht="12.75" x14ac:dyDescent="0.2">
      <c r="M405" s="46"/>
    </row>
    <row r="406" spans="13:13" ht="12.75" x14ac:dyDescent="0.2">
      <c r="M406" s="46"/>
    </row>
    <row r="407" spans="13:13" ht="12.75" x14ac:dyDescent="0.2">
      <c r="M407" s="46"/>
    </row>
    <row r="408" spans="13:13" ht="12.75" x14ac:dyDescent="0.2">
      <c r="M408" s="46"/>
    </row>
    <row r="409" spans="13:13" ht="12.75" x14ac:dyDescent="0.2">
      <c r="M409" s="46"/>
    </row>
    <row r="410" spans="13:13" ht="12.75" x14ac:dyDescent="0.2">
      <c r="M410" s="46"/>
    </row>
    <row r="411" spans="13:13" ht="12.75" x14ac:dyDescent="0.2">
      <c r="M411" s="46"/>
    </row>
    <row r="412" spans="13:13" ht="12.75" x14ac:dyDescent="0.2">
      <c r="M412" s="46"/>
    </row>
    <row r="413" spans="13:13" ht="12.75" x14ac:dyDescent="0.2">
      <c r="M413" s="46"/>
    </row>
    <row r="414" spans="13:13" ht="12.75" x14ac:dyDescent="0.2">
      <c r="M414" s="46"/>
    </row>
    <row r="415" spans="13:13" ht="12.75" x14ac:dyDescent="0.2">
      <c r="M415" s="46"/>
    </row>
    <row r="416" spans="13:13" ht="12.75" x14ac:dyDescent="0.2">
      <c r="M416" s="46"/>
    </row>
    <row r="417" spans="13:13" ht="12.75" x14ac:dyDescent="0.2">
      <c r="M417" s="46"/>
    </row>
    <row r="418" spans="13:13" ht="12.75" x14ac:dyDescent="0.2">
      <c r="M418" s="46"/>
    </row>
    <row r="419" spans="13:13" ht="12.75" x14ac:dyDescent="0.2">
      <c r="M419" s="46"/>
    </row>
    <row r="420" spans="13:13" ht="12.75" x14ac:dyDescent="0.2">
      <c r="M420" s="46"/>
    </row>
    <row r="421" spans="13:13" ht="12.75" x14ac:dyDescent="0.2">
      <c r="M421" s="46"/>
    </row>
    <row r="422" spans="13:13" ht="12.75" x14ac:dyDescent="0.2">
      <c r="M422" s="46"/>
    </row>
    <row r="423" spans="13:13" ht="12.75" x14ac:dyDescent="0.2">
      <c r="M423" s="46"/>
    </row>
    <row r="424" spans="13:13" ht="12.75" x14ac:dyDescent="0.2">
      <c r="M424" s="46"/>
    </row>
    <row r="425" spans="13:13" ht="12.75" x14ac:dyDescent="0.2">
      <c r="M425" s="46"/>
    </row>
    <row r="426" spans="13:13" ht="12.75" x14ac:dyDescent="0.2">
      <c r="M426" s="46"/>
    </row>
    <row r="427" spans="13:13" ht="12.75" x14ac:dyDescent="0.2">
      <c r="M427" s="46"/>
    </row>
    <row r="428" spans="13:13" ht="12.75" x14ac:dyDescent="0.2">
      <c r="M428" s="46"/>
    </row>
    <row r="429" spans="13:13" ht="12.75" x14ac:dyDescent="0.2">
      <c r="M429" s="46"/>
    </row>
    <row r="430" spans="13:13" ht="12.75" x14ac:dyDescent="0.2">
      <c r="M430" s="46"/>
    </row>
    <row r="431" spans="13:13" ht="12.75" x14ac:dyDescent="0.2">
      <c r="M431" s="46"/>
    </row>
    <row r="432" spans="13:13" ht="12.75" x14ac:dyDescent="0.2">
      <c r="M432" s="46"/>
    </row>
    <row r="433" spans="13:13" ht="12.75" x14ac:dyDescent="0.2">
      <c r="M433" s="46"/>
    </row>
    <row r="434" spans="13:13" ht="12.75" x14ac:dyDescent="0.2">
      <c r="M434" s="46"/>
    </row>
    <row r="435" spans="13:13" ht="12.75" x14ac:dyDescent="0.2">
      <c r="M435" s="46"/>
    </row>
    <row r="436" spans="13:13" ht="12.75" x14ac:dyDescent="0.2">
      <c r="M436" s="46"/>
    </row>
    <row r="437" spans="13:13" ht="12.75" x14ac:dyDescent="0.2">
      <c r="M437" s="46"/>
    </row>
    <row r="438" spans="13:13" ht="12.75" x14ac:dyDescent="0.2">
      <c r="M438" s="46"/>
    </row>
    <row r="439" spans="13:13" ht="12.75" x14ac:dyDescent="0.2">
      <c r="M439" s="46"/>
    </row>
    <row r="440" spans="13:13" ht="12.75" x14ac:dyDescent="0.2">
      <c r="M440" s="46"/>
    </row>
    <row r="441" spans="13:13" ht="12.75" x14ac:dyDescent="0.2">
      <c r="M441" s="46"/>
    </row>
    <row r="442" spans="13:13" ht="12.75" x14ac:dyDescent="0.2">
      <c r="M442" s="46"/>
    </row>
    <row r="443" spans="13:13" ht="12.75" x14ac:dyDescent="0.2">
      <c r="M443" s="46"/>
    </row>
    <row r="444" spans="13:13" ht="12.75" x14ac:dyDescent="0.2">
      <c r="M444" s="46"/>
    </row>
    <row r="445" spans="13:13" ht="12.75" x14ac:dyDescent="0.2">
      <c r="M445" s="46"/>
    </row>
    <row r="446" spans="13:13" ht="12.75" x14ac:dyDescent="0.2">
      <c r="M446" s="46"/>
    </row>
    <row r="447" spans="13:13" ht="12.75" x14ac:dyDescent="0.2">
      <c r="M447" s="46"/>
    </row>
    <row r="448" spans="13:13" ht="12.75" x14ac:dyDescent="0.2">
      <c r="M448" s="46"/>
    </row>
    <row r="449" spans="13:13" ht="12.75" x14ac:dyDescent="0.2">
      <c r="M449" s="46"/>
    </row>
    <row r="450" spans="13:13" ht="12.75" x14ac:dyDescent="0.2">
      <c r="M450" s="46"/>
    </row>
    <row r="451" spans="13:13" ht="12.75" x14ac:dyDescent="0.2">
      <c r="M451" s="46"/>
    </row>
    <row r="452" spans="13:13" ht="12.75" x14ac:dyDescent="0.2">
      <c r="M452" s="46"/>
    </row>
    <row r="453" spans="13:13" ht="12.75" x14ac:dyDescent="0.2">
      <c r="M453" s="46"/>
    </row>
    <row r="454" spans="13:13" ht="12.75" x14ac:dyDescent="0.2">
      <c r="M454" s="46"/>
    </row>
    <row r="455" spans="13:13" ht="12.75" x14ac:dyDescent="0.2">
      <c r="M455" s="46"/>
    </row>
    <row r="456" spans="13:13" ht="12.75" x14ac:dyDescent="0.2">
      <c r="M456" s="46"/>
    </row>
    <row r="457" spans="13:13" ht="12.75" x14ac:dyDescent="0.2">
      <c r="M457" s="46"/>
    </row>
    <row r="458" spans="13:13" ht="12.75" x14ac:dyDescent="0.2">
      <c r="M458" s="46"/>
    </row>
    <row r="459" spans="13:13" ht="12.75" x14ac:dyDescent="0.2">
      <c r="M459" s="46"/>
    </row>
    <row r="460" spans="13:13" ht="12.75" x14ac:dyDescent="0.2">
      <c r="M460" s="46"/>
    </row>
    <row r="461" spans="13:13" ht="12.75" x14ac:dyDescent="0.2">
      <c r="M461" s="46"/>
    </row>
    <row r="462" spans="13:13" ht="12.75" x14ac:dyDescent="0.2">
      <c r="M462" s="46"/>
    </row>
    <row r="463" spans="13:13" ht="12.75" x14ac:dyDescent="0.2">
      <c r="M463" s="46"/>
    </row>
    <row r="464" spans="13:13" ht="12.75" x14ac:dyDescent="0.2">
      <c r="M464" s="46"/>
    </row>
    <row r="465" spans="13:13" ht="12.75" x14ac:dyDescent="0.2">
      <c r="M465" s="46"/>
    </row>
    <row r="466" spans="13:13" ht="12.75" x14ac:dyDescent="0.2">
      <c r="M466" s="46"/>
    </row>
    <row r="467" spans="13:13" ht="12.75" x14ac:dyDescent="0.2">
      <c r="M467" s="46"/>
    </row>
    <row r="468" spans="13:13" ht="12.75" x14ac:dyDescent="0.2">
      <c r="M468" s="46"/>
    </row>
    <row r="469" spans="13:13" ht="12.75" x14ac:dyDescent="0.2">
      <c r="M469" s="46"/>
    </row>
    <row r="470" spans="13:13" ht="12.75" x14ac:dyDescent="0.2">
      <c r="M470" s="46"/>
    </row>
    <row r="471" spans="13:13" ht="12.75" x14ac:dyDescent="0.2">
      <c r="M471" s="46"/>
    </row>
    <row r="472" spans="13:13" ht="12.75" x14ac:dyDescent="0.2">
      <c r="M472" s="46"/>
    </row>
    <row r="473" spans="13:13" ht="12.75" x14ac:dyDescent="0.2">
      <c r="M473" s="46"/>
    </row>
    <row r="474" spans="13:13" ht="12.75" x14ac:dyDescent="0.2">
      <c r="M474" s="46"/>
    </row>
    <row r="475" spans="13:13" ht="12.75" x14ac:dyDescent="0.2">
      <c r="M475" s="46"/>
    </row>
    <row r="476" spans="13:13" ht="12.75" x14ac:dyDescent="0.2">
      <c r="M476" s="46"/>
    </row>
    <row r="477" spans="13:13" ht="12.75" x14ac:dyDescent="0.2">
      <c r="M477" s="46"/>
    </row>
    <row r="478" spans="13:13" ht="12.75" x14ac:dyDescent="0.2">
      <c r="M478" s="46"/>
    </row>
    <row r="479" spans="13:13" ht="12.75" x14ac:dyDescent="0.2">
      <c r="M479" s="46"/>
    </row>
    <row r="480" spans="13:13" ht="12.75" x14ac:dyDescent="0.2">
      <c r="M480" s="46"/>
    </row>
    <row r="481" spans="13:13" ht="12.75" x14ac:dyDescent="0.2">
      <c r="M481" s="46"/>
    </row>
    <row r="482" spans="13:13" ht="12.75" x14ac:dyDescent="0.2">
      <c r="M482" s="46"/>
    </row>
    <row r="483" spans="13:13" ht="12.75" x14ac:dyDescent="0.2">
      <c r="M483" s="46"/>
    </row>
    <row r="484" spans="13:13" ht="12.75" x14ac:dyDescent="0.2">
      <c r="M484" s="46"/>
    </row>
    <row r="485" spans="13:13" ht="12.75" x14ac:dyDescent="0.2">
      <c r="M485" s="46"/>
    </row>
    <row r="486" spans="13:13" ht="12.75" x14ac:dyDescent="0.2">
      <c r="M486" s="46"/>
    </row>
    <row r="487" spans="13:13" ht="12.75" x14ac:dyDescent="0.2">
      <c r="M487" s="46"/>
    </row>
    <row r="488" spans="13:13" ht="12.75" x14ac:dyDescent="0.2">
      <c r="M488" s="46"/>
    </row>
    <row r="489" spans="13:13" ht="12.75" x14ac:dyDescent="0.2">
      <c r="M489" s="46"/>
    </row>
    <row r="490" spans="13:13" ht="12.75" x14ac:dyDescent="0.2">
      <c r="M490" s="46"/>
    </row>
    <row r="491" spans="13:13" ht="12.75" x14ac:dyDescent="0.2">
      <c r="M491" s="46"/>
    </row>
    <row r="492" spans="13:13" ht="12.75" x14ac:dyDescent="0.2">
      <c r="M492" s="46"/>
    </row>
    <row r="493" spans="13:13" ht="12.75" x14ac:dyDescent="0.2">
      <c r="M493" s="46"/>
    </row>
    <row r="494" spans="13:13" ht="12.75" x14ac:dyDescent="0.2">
      <c r="M494" s="46"/>
    </row>
    <row r="495" spans="13:13" ht="12.75" x14ac:dyDescent="0.2">
      <c r="M495" s="46"/>
    </row>
    <row r="496" spans="13:13" ht="12.75" x14ac:dyDescent="0.2">
      <c r="M496" s="46"/>
    </row>
    <row r="497" spans="13:13" ht="12.75" x14ac:dyDescent="0.2">
      <c r="M497" s="46"/>
    </row>
    <row r="498" spans="13:13" ht="12.75" x14ac:dyDescent="0.2">
      <c r="M498" s="46"/>
    </row>
    <row r="499" spans="13:13" ht="12.75" x14ac:dyDescent="0.2">
      <c r="M499" s="46"/>
    </row>
    <row r="500" spans="13:13" ht="12.75" x14ac:dyDescent="0.2">
      <c r="M500" s="46"/>
    </row>
    <row r="501" spans="13:13" ht="12.75" x14ac:dyDescent="0.2">
      <c r="M501" s="46"/>
    </row>
    <row r="502" spans="13:13" ht="12.75" x14ac:dyDescent="0.2">
      <c r="M502" s="46"/>
    </row>
    <row r="503" spans="13:13" ht="12.75" x14ac:dyDescent="0.2">
      <c r="M503" s="46"/>
    </row>
    <row r="504" spans="13:13" ht="12.75" x14ac:dyDescent="0.2">
      <c r="M504" s="46"/>
    </row>
    <row r="505" spans="13:13" ht="12.75" x14ac:dyDescent="0.2">
      <c r="M505" s="46"/>
    </row>
    <row r="506" spans="13:13" ht="12.75" x14ac:dyDescent="0.2">
      <c r="M506" s="46"/>
    </row>
    <row r="507" spans="13:13" ht="12.75" x14ac:dyDescent="0.2">
      <c r="M507" s="46"/>
    </row>
    <row r="508" spans="13:13" ht="12.75" x14ac:dyDescent="0.2">
      <c r="M508" s="46"/>
    </row>
    <row r="509" spans="13:13" ht="12.75" x14ac:dyDescent="0.2">
      <c r="M509" s="46"/>
    </row>
    <row r="510" spans="13:13" ht="12.75" x14ac:dyDescent="0.2">
      <c r="M510" s="46"/>
    </row>
    <row r="511" spans="13:13" ht="12.75" x14ac:dyDescent="0.2">
      <c r="M511" s="46"/>
    </row>
    <row r="512" spans="13:13" ht="12.75" x14ac:dyDescent="0.2">
      <c r="M512" s="46"/>
    </row>
    <row r="513" spans="13:13" ht="12.75" x14ac:dyDescent="0.2">
      <c r="M513" s="46"/>
    </row>
    <row r="514" spans="13:13" ht="12.75" x14ac:dyDescent="0.2">
      <c r="M514" s="46"/>
    </row>
    <row r="515" spans="13:13" ht="12.75" x14ac:dyDescent="0.2">
      <c r="M515" s="46"/>
    </row>
    <row r="516" spans="13:13" ht="12.75" x14ac:dyDescent="0.2">
      <c r="M516" s="46"/>
    </row>
    <row r="517" spans="13:13" ht="12.75" x14ac:dyDescent="0.2">
      <c r="M517" s="46"/>
    </row>
    <row r="518" spans="13:13" ht="12.75" x14ac:dyDescent="0.2">
      <c r="M518" s="46"/>
    </row>
    <row r="519" spans="13:13" ht="12.75" x14ac:dyDescent="0.2">
      <c r="M519" s="46"/>
    </row>
    <row r="520" spans="13:13" ht="12.75" x14ac:dyDescent="0.2">
      <c r="M520" s="46"/>
    </row>
    <row r="521" spans="13:13" ht="12.75" x14ac:dyDescent="0.2">
      <c r="M521" s="46"/>
    </row>
    <row r="522" spans="13:13" ht="12.75" x14ac:dyDescent="0.2">
      <c r="M522" s="46"/>
    </row>
    <row r="523" spans="13:13" ht="12.75" x14ac:dyDescent="0.2">
      <c r="M523" s="46"/>
    </row>
    <row r="524" spans="13:13" ht="12.75" x14ac:dyDescent="0.2">
      <c r="M524" s="46"/>
    </row>
    <row r="525" spans="13:13" ht="12.75" x14ac:dyDescent="0.2">
      <c r="M525" s="46"/>
    </row>
    <row r="526" spans="13:13" ht="12.75" x14ac:dyDescent="0.2">
      <c r="M526" s="46"/>
    </row>
    <row r="527" spans="13:13" ht="12.75" x14ac:dyDescent="0.2">
      <c r="M527" s="46"/>
    </row>
    <row r="528" spans="13:13" ht="12.75" x14ac:dyDescent="0.2">
      <c r="M528" s="46"/>
    </row>
    <row r="529" spans="13:13" ht="12.75" x14ac:dyDescent="0.2">
      <c r="M529" s="46"/>
    </row>
    <row r="530" spans="13:13" ht="12.75" x14ac:dyDescent="0.2">
      <c r="M530" s="46"/>
    </row>
    <row r="531" spans="13:13" ht="12.75" x14ac:dyDescent="0.2">
      <c r="M531" s="46"/>
    </row>
    <row r="532" spans="13:13" ht="12.75" x14ac:dyDescent="0.2">
      <c r="M532" s="46"/>
    </row>
    <row r="533" spans="13:13" ht="12.75" x14ac:dyDescent="0.2">
      <c r="M533" s="46"/>
    </row>
    <row r="534" spans="13:13" ht="12.75" x14ac:dyDescent="0.2">
      <c r="M534" s="46"/>
    </row>
    <row r="535" spans="13:13" ht="12.75" x14ac:dyDescent="0.2">
      <c r="M535" s="46"/>
    </row>
    <row r="536" spans="13:13" ht="12.75" x14ac:dyDescent="0.2">
      <c r="M536" s="46"/>
    </row>
    <row r="537" spans="13:13" ht="12.75" x14ac:dyDescent="0.2">
      <c r="M537" s="46"/>
    </row>
    <row r="538" spans="13:13" ht="12.75" x14ac:dyDescent="0.2">
      <c r="M538" s="46"/>
    </row>
    <row r="539" spans="13:13" ht="12.75" x14ac:dyDescent="0.2">
      <c r="M539" s="46"/>
    </row>
    <row r="540" spans="13:13" ht="12.75" x14ac:dyDescent="0.2">
      <c r="M540" s="46"/>
    </row>
    <row r="541" spans="13:13" ht="12.75" x14ac:dyDescent="0.2">
      <c r="M541" s="46"/>
    </row>
    <row r="542" spans="13:13" ht="12.75" x14ac:dyDescent="0.2">
      <c r="M542" s="46"/>
    </row>
    <row r="543" spans="13:13" ht="12.75" x14ac:dyDescent="0.2">
      <c r="M543" s="46"/>
    </row>
    <row r="544" spans="13:13" ht="12.75" x14ac:dyDescent="0.2">
      <c r="M544" s="46"/>
    </row>
    <row r="545" spans="13:13" ht="12.75" x14ac:dyDescent="0.2">
      <c r="M545" s="46"/>
    </row>
    <row r="546" spans="13:13" ht="12.75" x14ac:dyDescent="0.2">
      <c r="M546" s="46"/>
    </row>
    <row r="547" spans="13:13" ht="12.75" x14ac:dyDescent="0.2">
      <c r="M547" s="46"/>
    </row>
    <row r="548" spans="13:13" ht="12.75" x14ac:dyDescent="0.2">
      <c r="M548" s="46"/>
    </row>
    <row r="549" spans="13:13" ht="12.75" x14ac:dyDescent="0.2">
      <c r="M549" s="46"/>
    </row>
    <row r="550" spans="13:13" ht="12.75" x14ac:dyDescent="0.2">
      <c r="M550" s="46"/>
    </row>
    <row r="551" spans="13:13" ht="12.75" x14ac:dyDescent="0.2">
      <c r="M551" s="46"/>
    </row>
    <row r="552" spans="13:13" ht="12.75" x14ac:dyDescent="0.2">
      <c r="M552" s="46"/>
    </row>
    <row r="553" spans="13:13" ht="12.75" x14ac:dyDescent="0.2">
      <c r="M553" s="46"/>
    </row>
    <row r="554" spans="13:13" ht="12.75" x14ac:dyDescent="0.2">
      <c r="M554" s="46"/>
    </row>
    <row r="555" spans="13:13" ht="12.75" x14ac:dyDescent="0.2">
      <c r="M555" s="46"/>
    </row>
    <row r="556" spans="13:13" ht="12.75" x14ac:dyDescent="0.2">
      <c r="M556" s="46"/>
    </row>
    <row r="557" spans="13:13" ht="12.75" x14ac:dyDescent="0.2">
      <c r="M557" s="46"/>
    </row>
    <row r="558" spans="13:13" ht="12.75" x14ac:dyDescent="0.2">
      <c r="M558" s="46"/>
    </row>
    <row r="559" spans="13:13" ht="12.75" x14ac:dyDescent="0.2">
      <c r="M559" s="46"/>
    </row>
    <row r="560" spans="13:13" ht="12.75" x14ac:dyDescent="0.2">
      <c r="M560" s="46"/>
    </row>
    <row r="561" spans="13:13" ht="12.75" x14ac:dyDescent="0.2">
      <c r="M561" s="46"/>
    </row>
    <row r="562" spans="13:13" ht="12.75" x14ac:dyDescent="0.2">
      <c r="M562" s="46"/>
    </row>
    <row r="563" spans="13:13" ht="12.75" x14ac:dyDescent="0.2">
      <c r="M563" s="46"/>
    </row>
    <row r="564" spans="13:13" ht="12.75" x14ac:dyDescent="0.2">
      <c r="M564" s="46"/>
    </row>
    <row r="565" spans="13:13" ht="12.75" x14ac:dyDescent="0.2">
      <c r="M565" s="46"/>
    </row>
    <row r="566" spans="13:13" ht="12.75" x14ac:dyDescent="0.2">
      <c r="M566" s="46"/>
    </row>
    <row r="567" spans="13:13" ht="12.75" x14ac:dyDescent="0.2">
      <c r="M567" s="46"/>
    </row>
    <row r="568" spans="13:13" ht="12.75" x14ac:dyDescent="0.2">
      <c r="M568" s="46"/>
    </row>
    <row r="569" spans="13:13" ht="12.75" x14ac:dyDescent="0.2">
      <c r="M569" s="46"/>
    </row>
    <row r="570" spans="13:13" ht="12.75" x14ac:dyDescent="0.2">
      <c r="M570" s="46"/>
    </row>
    <row r="571" spans="13:13" ht="12.75" x14ac:dyDescent="0.2">
      <c r="M571" s="46"/>
    </row>
    <row r="572" spans="13:13" ht="12.75" x14ac:dyDescent="0.2">
      <c r="M572" s="46"/>
    </row>
    <row r="573" spans="13:13" ht="12.75" x14ac:dyDescent="0.2">
      <c r="M573" s="46"/>
    </row>
    <row r="574" spans="13:13" ht="12.75" x14ac:dyDescent="0.2">
      <c r="M574" s="46"/>
    </row>
    <row r="575" spans="13:13" ht="12.75" x14ac:dyDescent="0.2">
      <c r="M575" s="46"/>
    </row>
    <row r="576" spans="13:13" ht="12.75" x14ac:dyDescent="0.2">
      <c r="M576" s="46"/>
    </row>
    <row r="577" spans="13:13" ht="12.75" x14ac:dyDescent="0.2">
      <c r="M577" s="46"/>
    </row>
    <row r="578" spans="13:13" ht="12.75" x14ac:dyDescent="0.2">
      <c r="M578" s="46"/>
    </row>
    <row r="579" spans="13:13" ht="12.75" x14ac:dyDescent="0.2">
      <c r="M579" s="46"/>
    </row>
    <row r="580" spans="13:13" ht="12.75" x14ac:dyDescent="0.2">
      <c r="M580" s="46"/>
    </row>
    <row r="581" spans="13:13" ht="12.75" x14ac:dyDescent="0.2">
      <c r="M581" s="46"/>
    </row>
    <row r="582" spans="13:13" ht="12.75" x14ac:dyDescent="0.2">
      <c r="M582" s="46"/>
    </row>
    <row r="583" spans="13:13" ht="12.75" x14ac:dyDescent="0.2">
      <c r="M583" s="46"/>
    </row>
    <row r="584" spans="13:13" ht="12.75" x14ac:dyDescent="0.2">
      <c r="M584" s="46"/>
    </row>
    <row r="585" spans="13:13" ht="12.75" x14ac:dyDescent="0.2">
      <c r="M585" s="46"/>
    </row>
    <row r="586" spans="13:13" ht="12.75" x14ac:dyDescent="0.2">
      <c r="M586" s="46"/>
    </row>
    <row r="587" spans="13:13" ht="12.75" x14ac:dyDescent="0.2">
      <c r="M587" s="46"/>
    </row>
    <row r="588" spans="13:13" ht="12.75" x14ac:dyDescent="0.2">
      <c r="M588" s="46"/>
    </row>
    <row r="589" spans="13:13" ht="12.75" x14ac:dyDescent="0.2">
      <c r="M589" s="46"/>
    </row>
    <row r="590" spans="13:13" ht="12.75" x14ac:dyDescent="0.2">
      <c r="M590" s="46"/>
    </row>
    <row r="591" spans="13:13" ht="12.75" x14ac:dyDescent="0.2">
      <c r="M591" s="46"/>
    </row>
    <row r="592" spans="13:13" ht="12.75" x14ac:dyDescent="0.2">
      <c r="M592" s="46"/>
    </row>
    <row r="593" spans="13:13" ht="12.75" x14ac:dyDescent="0.2">
      <c r="M593" s="46"/>
    </row>
    <row r="594" spans="13:13" ht="12.75" x14ac:dyDescent="0.2">
      <c r="M594" s="46"/>
    </row>
    <row r="595" spans="13:13" ht="12.75" x14ac:dyDescent="0.2">
      <c r="M595" s="46"/>
    </row>
    <row r="596" spans="13:13" ht="12.75" x14ac:dyDescent="0.2">
      <c r="M596" s="46"/>
    </row>
    <row r="597" spans="13:13" ht="12.75" x14ac:dyDescent="0.2">
      <c r="M597" s="46"/>
    </row>
    <row r="598" spans="13:13" ht="12.75" x14ac:dyDescent="0.2">
      <c r="M598" s="46"/>
    </row>
    <row r="599" spans="13:13" ht="12.75" x14ac:dyDescent="0.2">
      <c r="M599" s="46"/>
    </row>
    <row r="600" spans="13:13" ht="12.75" x14ac:dyDescent="0.2">
      <c r="M600" s="46"/>
    </row>
    <row r="601" spans="13:13" ht="12.75" x14ac:dyDescent="0.2">
      <c r="M601" s="46"/>
    </row>
    <row r="602" spans="13:13" ht="12.75" x14ac:dyDescent="0.2">
      <c r="M602" s="46"/>
    </row>
    <row r="603" spans="13:13" ht="12.75" x14ac:dyDescent="0.2">
      <c r="M603" s="46"/>
    </row>
    <row r="604" spans="13:13" ht="12.75" x14ac:dyDescent="0.2">
      <c r="M604" s="46"/>
    </row>
    <row r="605" spans="13:13" ht="12.75" x14ac:dyDescent="0.2">
      <c r="M605" s="46"/>
    </row>
    <row r="606" spans="13:13" ht="12.75" x14ac:dyDescent="0.2">
      <c r="M606" s="46"/>
    </row>
    <row r="607" spans="13:13" ht="12.75" x14ac:dyDescent="0.2">
      <c r="M607" s="46"/>
    </row>
    <row r="608" spans="13:13" ht="12.75" x14ac:dyDescent="0.2">
      <c r="M608" s="46"/>
    </row>
    <row r="609" spans="13:13" ht="12.75" x14ac:dyDescent="0.2">
      <c r="M609" s="46"/>
    </row>
    <row r="610" spans="13:13" ht="12.75" x14ac:dyDescent="0.2">
      <c r="M610" s="46"/>
    </row>
    <row r="611" spans="13:13" ht="12.75" x14ac:dyDescent="0.2">
      <c r="M611" s="46"/>
    </row>
    <row r="612" spans="13:13" ht="12.75" x14ac:dyDescent="0.2">
      <c r="M612" s="46"/>
    </row>
    <row r="613" spans="13:13" ht="12.75" x14ac:dyDescent="0.2">
      <c r="M613" s="46"/>
    </row>
    <row r="614" spans="13:13" ht="12.75" x14ac:dyDescent="0.2">
      <c r="M614" s="46"/>
    </row>
    <row r="615" spans="13:13" ht="12.75" x14ac:dyDescent="0.2">
      <c r="M615" s="46"/>
    </row>
    <row r="616" spans="13:13" ht="12.75" x14ac:dyDescent="0.2">
      <c r="M616" s="46"/>
    </row>
    <row r="617" spans="13:13" ht="12.75" x14ac:dyDescent="0.2">
      <c r="M617" s="46"/>
    </row>
    <row r="618" spans="13:13" ht="12.75" x14ac:dyDescent="0.2">
      <c r="M618" s="46"/>
    </row>
    <row r="619" spans="13:13" ht="12.75" x14ac:dyDescent="0.2">
      <c r="M619" s="46"/>
    </row>
    <row r="620" spans="13:13" ht="12.75" x14ac:dyDescent="0.2">
      <c r="M620" s="46"/>
    </row>
    <row r="621" spans="13:13" ht="12.75" x14ac:dyDescent="0.2">
      <c r="M621" s="46"/>
    </row>
    <row r="622" spans="13:13" ht="12.75" x14ac:dyDescent="0.2">
      <c r="M622" s="46"/>
    </row>
    <row r="623" spans="13:13" ht="12.75" x14ac:dyDescent="0.2">
      <c r="M623" s="46"/>
    </row>
    <row r="624" spans="13:13" ht="12.75" x14ac:dyDescent="0.2">
      <c r="M624" s="46"/>
    </row>
    <row r="625" spans="13:13" ht="12.75" x14ac:dyDescent="0.2">
      <c r="M625" s="46"/>
    </row>
    <row r="626" spans="13:13" ht="12.75" x14ac:dyDescent="0.2">
      <c r="M626" s="46"/>
    </row>
    <row r="627" spans="13:13" ht="12.75" x14ac:dyDescent="0.2">
      <c r="M627" s="46"/>
    </row>
    <row r="628" spans="13:13" ht="12.75" x14ac:dyDescent="0.2">
      <c r="M628" s="46"/>
    </row>
    <row r="629" spans="13:13" ht="12.75" x14ac:dyDescent="0.2">
      <c r="M629" s="46"/>
    </row>
    <row r="630" spans="13:13" ht="12.75" x14ac:dyDescent="0.2">
      <c r="M630" s="46"/>
    </row>
    <row r="631" spans="13:13" ht="12.75" x14ac:dyDescent="0.2">
      <c r="M631" s="46"/>
    </row>
    <row r="632" spans="13:13" ht="12.75" x14ac:dyDescent="0.2">
      <c r="M632" s="46"/>
    </row>
    <row r="633" spans="13:13" ht="12.75" x14ac:dyDescent="0.2">
      <c r="M633" s="46"/>
    </row>
    <row r="634" spans="13:13" ht="12.75" x14ac:dyDescent="0.2">
      <c r="M634" s="46"/>
    </row>
    <row r="635" spans="13:13" ht="12.75" x14ac:dyDescent="0.2">
      <c r="M635" s="46"/>
    </row>
    <row r="636" spans="13:13" ht="12.75" x14ac:dyDescent="0.2">
      <c r="M636" s="46"/>
    </row>
    <row r="637" spans="13:13" ht="12.75" x14ac:dyDescent="0.2">
      <c r="M637" s="46"/>
    </row>
    <row r="638" spans="13:13" ht="12.75" x14ac:dyDescent="0.2">
      <c r="M638" s="46"/>
    </row>
    <row r="639" spans="13:13" ht="12.75" x14ac:dyDescent="0.2">
      <c r="M639" s="46"/>
    </row>
    <row r="640" spans="13:13" ht="12.75" x14ac:dyDescent="0.2">
      <c r="M640" s="46"/>
    </row>
    <row r="641" spans="13:13" ht="12.75" x14ac:dyDescent="0.2">
      <c r="M641" s="46"/>
    </row>
    <row r="642" spans="13:13" ht="12.75" x14ac:dyDescent="0.2">
      <c r="M642" s="46"/>
    </row>
    <row r="643" spans="13:13" ht="12.75" x14ac:dyDescent="0.2">
      <c r="M643" s="46"/>
    </row>
    <row r="644" spans="13:13" ht="12.75" x14ac:dyDescent="0.2">
      <c r="M644" s="46"/>
    </row>
    <row r="645" spans="13:13" ht="12.75" x14ac:dyDescent="0.2">
      <c r="M645" s="46"/>
    </row>
    <row r="646" spans="13:13" ht="12.75" x14ac:dyDescent="0.2">
      <c r="M646" s="46"/>
    </row>
    <row r="647" spans="13:13" ht="12.75" x14ac:dyDescent="0.2">
      <c r="M647" s="46"/>
    </row>
    <row r="648" spans="13:13" ht="12.75" x14ac:dyDescent="0.2">
      <c r="M648" s="46"/>
    </row>
    <row r="649" spans="13:13" ht="12.75" x14ac:dyDescent="0.2">
      <c r="M649" s="46"/>
    </row>
    <row r="650" spans="13:13" ht="12.75" x14ac:dyDescent="0.2">
      <c r="M650" s="46"/>
    </row>
    <row r="651" spans="13:13" ht="12.75" x14ac:dyDescent="0.2">
      <c r="M651" s="46"/>
    </row>
    <row r="652" spans="13:13" ht="12.75" x14ac:dyDescent="0.2">
      <c r="M652" s="46"/>
    </row>
    <row r="653" spans="13:13" ht="12.75" x14ac:dyDescent="0.2">
      <c r="M653" s="46"/>
    </row>
    <row r="654" spans="13:13" ht="12.75" x14ac:dyDescent="0.2">
      <c r="M654" s="46"/>
    </row>
    <row r="655" spans="13:13" ht="12.75" x14ac:dyDescent="0.2">
      <c r="M655" s="46"/>
    </row>
    <row r="656" spans="13:13" ht="12.75" x14ac:dyDescent="0.2">
      <c r="M656" s="46"/>
    </row>
    <row r="657" spans="13:13" ht="12.75" x14ac:dyDescent="0.2">
      <c r="M657" s="46"/>
    </row>
    <row r="658" spans="13:13" ht="12.75" x14ac:dyDescent="0.2">
      <c r="M658" s="46"/>
    </row>
    <row r="659" spans="13:13" ht="12.75" x14ac:dyDescent="0.2">
      <c r="M659" s="46"/>
    </row>
    <row r="660" spans="13:13" ht="12.75" x14ac:dyDescent="0.2">
      <c r="M660" s="46"/>
    </row>
    <row r="661" spans="13:13" ht="12.75" x14ac:dyDescent="0.2">
      <c r="M661" s="46"/>
    </row>
    <row r="662" spans="13:13" ht="12.75" x14ac:dyDescent="0.2">
      <c r="M662" s="46"/>
    </row>
    <row r="663" spans="13:13" ht="12.75" x14ac:dyDescent="0.2">
      <c r="M663" s="46"/>
    </row>
    <row r="664" spans="13:13" ht="12.75" x14ac:dyDescent="0.2">
      <c r="M664" s="46"/>
    </row>
    <row r="665" spans="13:13" ht="12.75" x14ac:dyDescent="0.2">
      <c r="M665" s="46"/>
    </row>
    <row r="666" spans="13:13" ht="12.75" x14ac:dyDescent="0.2">
      <c r="M666" s="46"/>
    </row>
    <row r="667" spans="13:13" ht="12.75" x14ac:dyDescent="0.2">
      <c r="M667" s="46"/>
    </row>
    <row r="668" spans="13:13" ht="12.75" x14ac:dyDescent="0.2">
      <c r="M668" s="46"/>
    </row>
    <row r="669" spans="13:13" ht="12.75" x14ac:dyDescent="0.2">
      <c r="M669" s="46"/>
    </row>
    <row r="670" spans="13:13" ht="12.75" x14ac:dyDescent="0.2">
      <c r="M670" s="46"/>
    </row>
    <row r="671" spans="13:13" ht="12.75" x14ac:dyDescent="0.2">
      <c r="M671" s="46"/>
    </row>
    <row r="672" spans="13:13" ht="12.75" x14ac:dyDescent="0.2">
      <c r="M672" s="46"/>
    </row>
    <row r="673" spans="13:13" ht="12.75" x14ac:dyDescent="0.2">
      <c r="M673" s="46"/>
    </row>
    <row r="674" spans="13:13" ht="12.75" x14ac:dyDescent="0.2">
      <c r="M674" s="46"/>
    </row>
    <row r="675" spans="13:13" ht="12.75" x14ac:dyDescent="0.2">
      <c r="M675" s="46"/>
    </row>
    <row r="676" spans="13:13" ht="12.75" x14ac:dyDescent="0.2">
      <c r="M676" s="46"/>
    </row>
    <row r="677" spans="13:13" ht="12.75" x14ac:dyDescent="0.2">
      <c r="M677" s="46"/>
    </row>
    <row r="678" spans="13:13" ht="12.75" x14ac:dyDescent="0.2">
      <c r="M678" s="46"/>
    </row>
    <row r="679" spans="13:13" ht="12.75" x14ac:dyDescent="0.2">
      <c r="M679" s="46"/>
    </row>
    <row r="680" spans="13:13" ht="12.75" x14ac:dyDescent="0.2">
      <c r="M680" s="46"/>
    </row>
    <row r="681" spans="13:13" ht="12.75" x14ac:dyDescent="0.2">
      <c r="M681" s="46"/>
    </row>
    <row r="682" spans="13:13" ht="12.75" x14ac:dyDescent="0.2">
      <c r="M682" s="46"/>
    </row>
    <row r="683" spans="13:13" ht="12.75" x14ac:dyDescent="0.2">
      <c r="M683" s="46"/>
    </row>
    <row r="684" spans="13:13" ht="12.75" x14ac:dyDescent="0.2">
      <c r="M684" s="46"/>
    </row>
    <row r="685" spans="13:13" ht="12.75" x14ac:dyDescent="0.2">
      <c r="M685" s="46"/>
    </row>
    <row r="686" spans="13:13" ht="12.75" x14ac:dyDescent="0.2">
      <c r="M686" s="46"/>
    </row>
    <row r="687" spans="13:13" ht="12.75" x14ac:dyDescent="0.2">
      <c r="M687" s="46"/>
    </row>
    <row r="688" spans="13:13" ht="12.75" x14ac:dyDescent="0.2">
      <c r="M688" s="46"/>
    </row>
    <row r="689" spans="13:13" ht="12.75" x14ac:dyDescent="0.2">
      <c r="M689" s="46"/>
    </row>
    <row r="690" spans="13:13" ht="12.75" x14ac:dyDescent="0.2">
      <c r="M690" s="46"/>
    </row>
    <row r="691" spans="13:13" ht="12.75" x14ac:dyDescent="0.2">
      <c r="M691" s="46"/>
    </row>
    <row r="692" spans="13:13" ht="12.75" x14ac:dyDescent="0.2">
      <c r="M692" s="46"/>
    </row>
    <row r="693" spans="13:13" ht="12.75" x14ac:dyDescent="0.2">
      <c r="M693" s="46"/>
    </row>
    <row r="694" spans="13:13" ht="12.75" x14ac:dyDescent="0.2">
      <c r="M694" s="46"/>
    </row>
    <row r="695" spans="13:13" ht="12.75" x14ac:dyDescent="0.2">
      <c r="M695" s="46"/>
    </row>
    <row r="696" spans="13:13" ht="12.75" x14ac:dyDescent="0.2">
      <c r="M696" s="46"/>
    </row>
    <row r="697" spans="13:13" ht="12.75" x14ac:dyDescent="0.2">
      <c r="M697" s="46"/>
    </row>
    <row r="698" spans="13:13" ht="12.75" x14ac:dyDescent="0.2">
      <c r="M698" s="46"/>
    </row>
    <row r="699" spans="13:13" ht="12.75" x14ac:dyDescent="0.2">
      <c r="M699" s="46"/>
    </row>
    <row r="700" spans="13:13" ht="12.75" x14ac:dyDescent="0.2">
      <c r="M700" s="46"/>
    </row>
    <row r="701" spans="13:13" ht="12.75" x14ac:dyDescent="0.2">
      <c r="M701" s="46"/>
    </row>
    <row r="702" spans="13:13" ht="12.75" x14ac:dyDescent="0.2">
      <c r="M702" s="46"/>
    </row>
    <row r="703" spans="13:13" ht="12.75" x14ac:dyDescent="0.2">
      <c r="M703" s="46"/>
    </row>
    <row r="704" spans="13:13" ht="12.75" x14ac:dyDescent="0.2">
      <c r="M704" s="46"/>
    </row>
    <row r="705" spans="13:13" ht="12.75" x14ac:dyDescent="0.2">
      <c r="M705" s="46"/>
    </row>
    <row r="706" spans="13:13" ht="12.75" x14ac:dyDescent="0.2">
      <c r="M706" s="46"/>
    </row>
    <row r="707" spans="13:13" ht="12.75" x14ac:dyDescent="0.2">
      <c r="M707" s="46"/>
    </row>
    <row r="708" spans="13:13" ht="12.75" x14ac:dyDescent="0.2">
      <c r="M708" s="46"/>
    </row>
    <row r="709" spans="13:13" ht="12.75" x14ac:dyDescent="0.2">
      <c r="M709" s="46"/>
    </row>
    <row r="710" spans="13:13" ht="12.75" x14ac:dyDescent="0.2">
      <c r="M710" s="46"/>
    </row>
    <row r="711" spans="13:13" ht="12.75" x14ac:dyDescent="0.2">
      <c r="M711" s="46"/>
    </row>
    <row r="712" spans="13:13" ht="12.75" x14ac:dyDescent="0.2">
      <c r="M712" s="46"/>
    </row>
    <row r="713" spans="13:13" ht="12.75" x14ac:dyDescent="0.2">
      <c r="M713" s="46"/>
    </row>
    <row r="714" spans="13:13" ht="12.75" x14ac:dyDescent="0.2">
      <c r="M714" s="46"/>
    </row>
    <row r="715" spans="13:13" ht="12.75" x14ac:dyDescent="0.2">
      <c r="M715" s="46"/>
    </row>
    <row r="716" spans="13:13" ht="12.75" x14ac:dyDescent="0.2">
      <c r="M716" s="46"/>
    </row>
    <row r="717" spans="13:13" ht="12.75" x14ac:dyDescent="0.2">
      <c r="M717" s="46"/>
    </row>
    <row r="718" spans="13:13" ht="12.75" x14ac:dyDescent="0.2">
      <c r="M718" s="46"/>
    </row>
    <row r="719" spans="13:13" ht="12.75" x14ac:dyDescent="0.2">
      <c r="M719" s="46"/>
    </row>
    <row r="720" spans="13:13" ht="12.75" x14ac:dyDescent="0.2">
      <c r="M720" s="46"/>
    </row>
    <row r="721" spans="13:13" ht="12.75" x14ac:dyDescent="0.2">
      <c r="M721" s="46"/>
    </row>
    <row r="722" spans="13:13" ht="12.75" x14ac:dyDescent="0.2">
      <c r="M722" s="46"/>
    </row>
    <row r="723" spans="13:13" ht="12.75" x14ac:dyDescent="0.2">
      <c r="M723" s="46"/>
    </row>
    <row r="724" spans="13:13" ht="12.75" x14ac:dyDescent="0.2">
      <c r="M724" s="46"/>
    </row>
    <row r="725" spans="13:13" ht="12.75" x14ac:dyDescent="0.2">
      <c r="M725" s="46"/>
    </row>
    <row r="726" spans="13:13" ht="12.75" x14ac:dyDescent="0.2">
      <c r="M726" s="46"/>
    </row>
    <row r="727" spans="13:13" ht="12.75" x14ac:dyDescent="0.2">
      <c r="M727" s="46"/>
    </row>
    <row r="728" spans="13:13" ht="12.75" x14ac:dyDescent="0.2">
      <c r="M728" s="46"/>
    </row>
    <row r="729" spans="13:13" ht="12.75" x14ac:dyDescent="0.2">
      <c r="M729" s="46"/>
    </row>
    <row r="730" spans="13:13" ht="12.75" x14ac:dyDescent="0.2">
      <c r="M730" s="46"/>
    </row>
    <row r="731" spans="13:13" ht="12.75" x14ac:dyDescent="0.2">
      <c r="M731" s="46"/>
    </row>
    <row r="732" spans="13:13" ht="12.75" x14ac:dyDescent="0.2">
      <c r="M732" s="46"/>
    </row>
    <row r="733" spans="13:13" ht="12.75" x14ac:dyDescent="0.2">
      <c r="M733" s="46"/>
    </row>
    <row r="734" spans="13:13" ht="12.75" x14ac:dyDescent="0.2">
      <c r="M734" s="46"/>
    </row>
    <row r="735" spans="13:13" ht="12.75" x14ac:dyDescent="0.2">
      <c r="M735" s="46"/>
    </row>
    <row r="736" spans="13:13" ht="12.75" x14ac:dyDescent="0.2">
      <c r="M736" s="46"/>
    </row>
    <row r="737" spans="13:13" ht="12.75" x14ac:dyDescent="0.2">
      <c r="M737" s="46"/>
    </row>
    <row r="738" spans="13:13" ht="12.75" x14ac:dyDescent="0.2">
      <c r="M738" s="46"/>
    </row>
    <row r="739" spans="13:13" ht="12.75" x14ac:dyDescent="0.2">
      <c r="M739" s="46"/>
    </row>
    <row r="740" spans="13:13" ht="12.75" x14ac:dyDescent="0.2">
      <c r="M740" s="46"/>
    </row>
    <row r="741" spans="13:13" ht="12.75" x14ac:dyDescent="0.2">
      <c r="M741" s="46"/>
    </row>
    <row r="742" spans="13:13" ht="12.75" x14ac:dyDescent="0.2">
      <c r="M742" s="46"/>
    </row>
    <row r="743" spans="13:13" ht="12.75" x14ac:dyDescent="0.2">
      <c r="M743" s="46"/>
    </row>
    <row r="744" spans="13:13" ht="12.75" x14ac:dyDescent="0.2">
      <c r="M744" s="46"/>
    </row>
    <row r="745" spans="13:13" ht="12.75" x14ac:dyDescent="0.2">
      <c r="M745" s="46"/>
    </row>
    <row r="746" spans="13:13" ht="12.75" x14ac:dyDescent="0.2">
      <c r="M746" s="46"/>
    </row>
    <row r="747" spans="13:13" ht="12.75" x14ac:dyDescent="0.2">
      <c r="M747" s="46"/>
    </row>
    <row r="748" spans="13:13" ht="12.75" x14ac:dyDescent="0.2">
      <c r="M748" s="46"/>
    </row>
    <row r="749" spans="13:13" ht="12.75" x14ac:dyDescent="0.2">
      <c r="M749" s="46"/>
    </row>
    <row r="750" spans="13:13" ht="12.75" x14ac:dyDescent="0.2">
      <c r="M750" s="46"/>
    </row>
    <row r="751" spans="13:13" ht="12.75" x14ac:dyDescent="0.2">
      <c r="M751" s="46"/>
    </row>
    <row r="752" spans="13:13" ht="12.75" x14ac:dyDescent="0.2">
      <c r="M752" s="46"/>
    </row>
    <row r="753" spans="13:13" ht="12.75" x14ac:dyDescent="0.2">
      <c r="M753" s="46"/>
    </row>
    <row r="754" spans="13:13" ht="12.75" x14ac:dyDescent="0.2">
      <c r="M754" s="46"/>
    </row>
    <row r="755" spans="13:13" ht="12.75" x14ac:dyDescent="0.2">
      <c r="M755" s="46"/>
    </row>
    <row r="756" spans="13:13" ht="12.75" x14ac:dyDescent="0.2">
      <c r="M756" s="46"/>
    </row>
    <row r="757" spans="13:13" ht="12.75" x14ac:dyDescent="0.2">
      <c r="M757" s="46"/>
    </row>
    <row r="758" spans="13:13" ht="12.75" x14ac:dyDescent="0.2">
      <c r="M758" s="46"/>
    </row>
    <row r="759" spans="13:13" ht="12.75" x14ac:dyDescent="0.2">
      <c r="M759" s="46"/>
    </row>
    <row r="760" spans="13:13" ht="12.75" x14ac:dyDescent="0.2">
      <c r="M760" s="46"/>
    </row>
    <row r="761" spans="13:13" ht="12.75" x14ac:dyDescent="0.2">
      <c r="M761" s="46"/>
    </row>
    <row r="762" spans="13:13" ht="12.75" x14ac:dyDescent="0.2">
      <c r="M762" s="46"/>
    </row>
    <row r="763" spans="13:13" ht="12.75" x14ac:dyDescent="0.2">
      <c r="M763" s="46"/>
    </row>
    <row r="764" spans="13:13" ht="12.75" x14ac:dyDescent="0.2">
      <c r="M764" s="46"/>
    </row>
    <row r="765" spans="13:13" ht="12.75" x14ac:dyDescent="0.2">
      <c r="M765" s="46"/>
    </row>
    <row r="766" spans="13:13" ht="12.75" x14ac:dyDescent="0.2">
      <c r="M766" s="46"/>
    </row>
    <row r="767" spans="13:13" ht="12.75" x14ac:dyDescent="0.2">
      <c r="M767" s="46"/>
    </row>
    <row r="768" spans="13:13" ht="12.75" x14ac:dyDescent="0.2">
      <c r="M768" s="46"/>
    </row>
    <row r="769" spans="13:13" ht="12.75" x14ac:dyDescent="0.2">
      <c r="M769" s="46"/>
    </row>
    <row r="770" spans="13:13" ht="12.75" x14ac:dyDescent="0.2">
      <c r="M770" s="46"/>
    </row>
    <row r="771" spans="13:13" ht="12.75" x14ac:dyDescent="0.2">
      <c r="M771" s="46"/>
    </row>
    <row r="772" spans="13:13" ht="12.75" x14ac:dyDescent="0.2">
      <c r="M772" s="46"/>
    </row>
    <row r="773" spans="13:13" ht="12.75" x14ac:dyDescent="0.2">
      <c r="M773" s="46"/>
    </row>
    <row r="774" spans="13:13" ht="12.75" x14ac:dyDescent="0.2">
      <c r="M774" s="46"/>
    </row>
    <row r="775" spans="13:13" ht="12.75" x14ac:dyDescent="0.2">
      <c r="M775" s="46"/>
    </row>
    <row r="776" spans="13:13" ht="12.75" x14ac:dyDescent="0.2">
      <c r="M776" s="46"/>
    </row>
    <row r="777" spans="13:13" ht="12.75" x14ac:dyDescent="0.2">
      <c r="M777" s="46"/>
    </row>
    <row r="778" spans="13:13" ht="12.75" x14ac:dyDescent="0.2">
      <c r="M778" s="46"/>
    </row>
    <row r="779" spans="13:13" ht="12.75" x14ac:dyDescent="0.2">
      <c r="M779" s="46"/>
    </row>
    <row r="780" spans="13:13" ht="12.75" x14ac:dyDescent="0.2">
      <c r="M780" s="46"/>
    </row>
    <row r="781" spans="13:13" ht="12.75" x14ac:dyDescent="0.2">
      <c r="M781" s="46"/>
    </row>
    <row r="782" spans="13:13" ht="12.75" x14ac:dyDescent="0.2">
      <c r="M782" s="46"/>
    </row>
    <row r="783" spans="13:13" ht="12.75" x14ac:dyDescent="0.2">
      <c r="M783" s="46"/>
    </row>
    <row r="784" spans="13:13" ht="12.75" x14ac:dyDescent="0.2">
      <c r="M784" s="46"/>
    </row>
    <row r="785" spans="13:13" ht="12.75" x14ac:dyDescent="0.2">
      <c r="M785" s="46"/>
    </row>
    <row r="786" spans="13:13" ht="12.75" x14ac:dyDescent="0.2">
      <c r="M786" s="46"/>
    </row>
    <row r="787" spans="13:13" ht="12.75" x14ac:dyDescent="0.2">
      <c r="M787" s="46"/>
    </row>
    <row r="788" spans="13:13" ht="12.75" x14ac:dyDescent="0.2">
      <c r="M788" s="46"/>
    </row>
    <row r="789" spans="13:13" ht="12.75" x14ac:dyDescent="0.2">
      <c r="M789" s="46"/>
    </row>
    <row r="790" spans="13:13" ht="12.75" x14ac:dyDescent="0.2">
      <c r="M790" s="46"/>
    </row>
    <row r="791" spans="13:13" ht="12.75" x14ac:dyDescent="0.2">
      <c r="M791" s="46"/>
    </row>
    <row r="792" spans="13:13" ht="12.75" x14ac:dyDescent="0.2">
      <c r="M792" s="46"/>
    </row>
    <row r="793" spans="13:13" ht="12.75" x14ac:dyDescent="0.2">
      <c r="M793" s="46"/>
    </row>
    <row r="794" spans="13:13" ht="12.75" x14ac:dyDescent="0.2">
      <c r="M794" s="46"/>
    </row>
    <row r="795" spans="13:13" ht="12.75" x14ac:dyDescent="0.2">
      <c r="M795" s="46"/>
    </row>
    <row r="796" spans="13:13" ht="12.75" x14ac:dyDescent="0.2">
      <c r="M796" s="46"/>
    </row>
    <row r="797" spans="13:13" ht="12.75" x14ac:dyDescent="0.2">
      <c r="M797" s="46"/>
    </row>
    <row r="798" spans="13:13" ht="12.75" x14ac:dyDescent="0.2">
      <c r="M798" s="46"/>
    </row>
    <row r="799" spans="13:13" ht="12.75" x14ac:dyDescent="0.2">
      <c r="M799" s="46"/>
    </row>
    <row r="800" spans="13:13" ht="12.75" x14ac:dyDescent="0.2">
      <c r="M800" s="46"/>
    </row>
    <row r="801" spans="13:13" ht="12.75" x14ac:dyDescent="0.2">
      <c r="M801" s="46"/>
    </row>
    <row r="802" spans="13:13" ht="12.75" x14ac:dyDescent="0.2">
      <c r="M802" s="46"/>
    </row>
    <row r="803" spans="13:13" ht="12.75" x14ac:dyDescent="0.2">
      <c r="M803" s="46"/>
    </row>
    <row r="804" spans="13:13" ht="12.75" x14ac:dyDescent="0.2">
      <c r="M804" s="46"/>
    </row>
    <row r="805" spans="13:13" ht="12.75" x14ac:dyDescent="0.2">
      <c r="M805" s="46"/>
    </row>
    <row r="806" spans="13:13" ht="12.75" x14ac:dyDescent="0.2">
      <c r="M806" s="46"/>
    </row>
    <row r="807" spans="13:13" ht="12.75" x14ac:dyDescent="0.2">
      <c r="M807" s="46"/>
    </row>
    <row r="808" spans="13:13" ht="12.75" x14ac:dyDescent="0.2">
      <c r="M808" s="46"/>
    </row>
    <row r="809" spans="13:13" ht="12.75" x14ac:dyDescent="0.2">
      <c r="M809" s="46"/>
    </row>
    <row r="810" spans="13:13" ht="12.75" x14ac:dyDescent="0.2">
      <c r="M810" s="46"/>
    </row>
    <row r="811" spans="13:13" ht="12.75" x14ac:dyDescent="0.2">
      <c r="M811" s="46"/>
    </row>
    <row r="812" spans="13:13" ht="12.75" x14ac:dyDescent="0.2">
      <c r="M812" s="46"/>
    </row>
    <row r="813" spans="13:13" ht="12.75" x14ac:dyDescent="0.2">
      <c r="M813" s="46"/>
    </row>
    <row r="814" spans="13:13" ht="12.75" x14ac:dyDescent="0.2">
      <c r="M814" s="46"/>
    </row>
    <row r="815" spans="13:13" ht="12.75" x14ac:dyDescent="0.2">
      <c r="M815" s="46"/>
    </row>
    <row r="816" spans="13:13" ht="12.75" x14ac:dyDescent="0.2">
      <c r="M816" s="46"/>
    </row>
    <row r="817" spans="13:13" ht="12.75" x14ac:dyDescent="0.2">
      <c r="M817" s="46"/>
    </row>
    <row r="818" spans="13:13" ht="12.75" x14ac:dyDescent="0.2">
      <c r="M818" s="46"/>
    </row>
    <row r="819" spans="13:13" ht="12.75" x14ac:dyDescent="0.2">
      <c r="M819" s="46"/>
    </row>
    <row r="820" spans="13:13" ht="12.75" x14ac:dyDescent="0.2">
      <c r="M820" s="46"/>
    </row>
    <row r="821" spans="13:13" ht="12.75" x14ac:dyDescent="0.2">
      <c r="M821" s="46"/>
    </row>
    <row r="822" spans="13:13" ht="12.75" x14ac:dyDescent="0.2">
      <c r="M822" s="46"/>
    </row>
    <row r="823" spans="13:13" ht="12.75" x14ac:dyDescent="0.2">
      <c r="M823" s="46"/>
    </row>
    <row r="824" spans="13:13" ht="12.75" x14ac:dyDescent="0.2">
      <c r="M824" s="46"/>
    </row>
    <row r="825" spans="13:13" ht="12.75" x14ac:dyDescent="0.2">
      <c r="M825" s="46"/>
    </row>
    <row r="826" spans="13:13" ht="12.75" x14ac:dyDescent="0.2">
      <c r="M826" s="46"/>
    </row>
    <row r="827" spans="13:13" ht="12.75" x14ac:dyDescent="0.2">
      <c r="M827" s="46"/>
    </row>
    <row r="828" spans="13:13" ht="12.75" x14ac:dyDescent="0.2">
      <c r="M828" s="46"/>
    </row>
    <row r="829" spans="13:13" ht="12.75" x14ac:dyDescent="0.2">
      <c r="M829" s="46"/>
    </row>
    <row r="830" spans="13:13" ht="12.75" x14ac:dyDescent="0.2">
      <c r="M830" s="46"/>
    </row>
    <row r="831" spans="13:13" ht="12.75" x14ac:dyDescent="0.2">
      <c r="M831" s="46"/>
    </row>
    <row r="832" spans="13:13" ht="12.75" x14ac:dyDescent="0.2">
      <c r="M832" s="46"/>
    </row>
    <row r="833" spans="13:13" ht="12.75" x14ac:dyDescent="0.2">
      <c r="M833" s="46"/>
    </row>
    <row r="834" spans="13:13" ht="12.75" x14ac:dyDescent="0.2">
      <c r="M834" s="46"/>
    </row>
    <row r="835" spans="13:13" ht="12.75" x14ac:dyDescent="0.2">
      <c r="M835" s="46"/>
    </row>
    <row r="836" spans="13:13" ht="12.75" x14ac:dyDescent="0.2">
      <c r="M836" s="46"/>
    </row>
    <row r="837" spans="13:13" ht="12.75" x14ac:dyDescent="0.2">
      <c r="M837" s="46"/>
    </row>
    <row r="838" spans="13:13" ht="12.75" x14ac:dyDescent="0.2">
      <c r="M838" s="46"/>
    </row>
    <row r="839" spans="13:13" ht="12.75" x14ac:dyDescent="0.2">
      <c r="M839" s="46"/>
    </row>
    <row r="840" spans="13:13" ht="12.75" x14ac:dyDescent="0.2">
      <c r="M840" s="46"/>
    </row>
    <row r="841" spans="13:13" ht="12.75" x14ac:dyDescent="0.2">
      <c r="M841" s="46"/>
    </row>
    <row r="842" spans="13:13" ht="12.75" x14ac:dyDescent="0.2">
      <c r="M842" s="46"/>
    </row>
    <row r="843" spans="13:13" ht="12.75" x14ac:dyDescent="0.2">
      <c r="M843" s="46"/>
    </row>
    <row r="844" spans="13:13" ht="12.75" x14ac:dyDescent="0.2">
      <c r="M844" s="46"/>
    </row>
    <row r="845" spans="13:13" ht="12.75" x14ac:dyDescent="0.2">
      <c r="M845" s="46"/>
    </row>
    <row r="846" spans="13:13" ht="12.75" x14ac:dyDescent="0.2">
      <c r="M846" s="46"/>
    </row>
    <row r="847" spans="13:13" ht="12.75" x14ac:dyDescent="0.2">
      <c r="M847" s="46"/>
    </row>
    <row r="848" spans="13:13" ht="12.75" x14ac:dyDescent="0.2">
      <c r="M848" s="46"/>
    </row>
    <row r="849" spans="13:13" ht="12.75" x14ac:dyDescent="0.2">
      <c r="M849" s="46"/>
    </row>
    <row r="850" spans="13:13" ht="12.75" x14ac:dyDescent="0.2">
      <c r="M850" s="46"/>
    </row>
    <row r="851" spans="13:13" ht="12.75" x14ac:dyDescent="0.2">
      <c r="M851" s="46"/>
    </row>
    <row r="852" spans="13:13" ht="12.75" x14ac:dyDescent="0.2">
      <c r="M852" s="46"/>
    </row>
    <row r="853" spans="13:13" ht="12.75" x14ac:dyDescent="0.2">
      <c r="M853" s="46"/>
    </row>
    <row r="854" spans="13:13" ht="12.75" x14ac:dyDescent="0.2">
      <c r="M854" s="46"/>
    </row>
    <row r="855" spans="13:13" ht="12.75" x14ac:dyDescent="0.2">
      <c r="M855" s="46"/>
    </row>
    <row r="856" spans="13:13" ht="12.75" x14ac:dyDescent="0.2">
      <c r="M856" s="46"/>
    </row>
    <row r="857" spans="13:13" ht="12.75" x14ac:dyDescent="0.2">
      <c r="M857" s="46"/>
    </row>
    <row r="858" spans="13:13" ht="12.75" x14ac:dyDescent="0.2">
      <c r="M858" s="46"/>
    </row>
    <row r="859" spans="13:13" ht="12.75" x14ac:dyDescent="0.2">
      <c r="M859" s="46"/>
    </row>
    <row r="860" spans="13:13" ht="12.75" x14ac:dyDescent="0.2">
      <c r="M860" s="46"/>
    </row>
    <row r="861" spans="13:13" ht="12.75" x14ac:dyDescent="0.2">
      <c r="M861" s="46"/>
    </row>
    <row r="862" spans="13:13" ht="12.75" x14ac:dyDescent="0.2">
      <c r="M862" s="46"/>
    </row>
    <row r="863" spans="13:13" ht="12.75" x14ac:dyDescent="0.2">
      <c r="M863" s="46"/>
    </row>
    <row r="864" spans="13:13" ht="12.75" x14ac:dyDescent="0.2">
      <c r="M864" s="46"/>
    </row>
    <row r="865" spans="13:13" ht="12.75" x14ac:dyDescent="0.2">
      <c r="M865" s="46"/>
    </row>
    <row r="866" spans="13:13" ht="12.75" x14ac:dyDescent="0.2">
      <c r="M866" s="46"/>
    </row>
    <row r="867" spans="13:13" ht="12.75" x14ac:dyDescent="0.2">
      <c r="M867" s="46"/>
    </row>
    <row r="868" spans="13:13" ht="12.75" x14ac:dyDescent="0.2">
      <c r="M868" s="46"/>
    </row>
    <row r="869" spans="13:13" ht="12.75" x14ac:dyDescent="0.2">
      <c r="M869" s="46"/>
    </row>
    <row r="870" spans="13:13" ht="12.75" x14ac:dyDescent="0.2">
      <c r="M870" s="46"/>
    </row>
    <row r="871" spans="13:13" ht="12.75" x14ac:dyDescent="0.2">
      <c r="M871" s="46"/>
    </row>
    <row r="872" spans="13:13" ht="12.75" x14ac:dyDescent="0.2">
      <c r="M872" s="46"/>
    </row>
    <row r="873" spans="13:13" ht="12.75" x14ac:dyDescent="0.2">
      <c r="M873" s="46"/>
    </row>
    <row r="874" spans="13:13" ht="12.75" x14ac:dyDescent="0.2">
      <c r="M874" s="46"/>
    </row>
    <row r="875" spans="13:13" ht="12.75" x14ac:dyDescent="0.2">
      <c r="M875" s="46"/>
    </row>
    <row r="876" spans="13:13" ht="12.75" x14ac:dyDescent="0.2">
      <c r="M876" s="46"/>
    </row>
    <row r="877" spans="13:13" ht="12.75" x14ac:dyDescent="0.2">
      <c r="M877" s="46"/>
    </row>
    <row r="878" spans="13:13" ht="12.75" x14ac:dyDescent="0.2">
      <c r="M878" s="46"/>
    </row>
    <row r="879" spans="13:13" ht="12.75" x14ac:dyDescent="0.2">
      <c r="M879" s="46"/>
    </row>
    <row r="880" spans="13:13" ht="12.75" x14ac:dyDescent="0.2">
      <c r="M880" s="46"/>
    </row>
    <row r="881" spans="13:13" ht="12.75" x14ac:dyDescent="0.2">
      <c r="M881" s="46"/>
    </row>
    <row r="882" spans="13:13" ht="12.75" x14ac:dyDescent="0.2">
      <c r="M882" s="46"/>
    </row>
    <row r="883" spans="13:13" ht="12.75" x14ac:dyDescent="0.2">
      <c r="M883" s="46"/>
    </row>
    <row r="884" spans="13:13" ht="12.75" x14ac:dyDescent="0.2">
      <c r="M884" s="46"/>
    </row>
    <row r="885" spans="13:13" ht="12.75" x14ac:dyDescent="0.2">
      <c r="M885" s="46"/>
    </row>
    <row r="886" spans="13:13" ht="12.75" x14ac:dyDescent="0.2">
      <c r="M886" s="46"/>
    </row>
    <row r="887" spans="13:13" ht="12.75" x14ac:dyDescent="0.2">
      <c r="M887" s="46"/>
    </row>
    <row r="888" spans="13:13" ht="12.75" x14ac:dyDescent="0.2">
      <c r="M888" s="46"/>
    </row>
    <row r="889" spans="13:13" ht="12.75" x14ac:dyDescent="0.2">
      <c r="M889" s="46"/>
    </row>
    <row r="890" spans="13:13" ht="12.75" x14ac:dyDescent="0.2">
      <c r="M890" s="46"/>
    </row>
    <row r="891" spans="13:13" ht="12.75" x14ac:dyDescent="0.2">
      <c r="M891" s="46"/>
    </row>
    <row r="892" spans="13:13" ht="12.75" x14ac:dyDescent="0.2">
      <c r="M892" s="46"/>
    </row>
    <row r="893" spans="13:13" ht="12.75" x14ac:dyDescent="0.2">
      <c r="M893" s="46"/>
    </row>
    <row r="894" spans="13:13" ht="12.75" x14ac:dyDescent="0.2">
      <c r="M894" s="46"/>
    </row>
    <row r="895" spans="13:13" ht="12.75" x14ac:dyDescent="0.2">
      <c r="M895" s="46"/>
    </row>
    <row r="896" spans="13:13" ht="12.75" x14ac:dyDescent="0.2">
      <c r="M896" s="46"/>
    </row>
    <row r="897" spans="13:13" ht="12.75" x14ac:dyDescent="0.2">
      <c r="M897" s="46"/>
    </row>
    <row r="898" spans="13:13" ht="12.75" x14ac:dyDescent="0.2">
      <c r="M898" s="46"/>
    </row>
    <row r="899" spans="13:13" ht="12.75" x14ac:dyDescent="0.2">
      <c r="M899" s="46"/>
    </row>
    <row r="900" spans="13:13" ht="12.75" x14ac:dyDescent="0.2">
      <c r="M900" s="46"/>
    </row>
    <row r="901" spans="13:13" ht="12.75" x14ac:dyDescent="0.2">
      <c r="M901" s="46"/>
    </row>
    <row r="902" spans="13:13" ht="12.75" x14ac:dyDescent="0.2">
      <c r="M902" s="46"/>
    </row>
    <row r="903" spans="13:13" ht="12.75" x14ac:dyDescent="0.2">
      <c r="M903" s="46"/>
    </row>
    <row r="904" spans="13:13" ht="12.75" x14ac:dyDescent="0.2">
      <c r="M904" s="46"/>
    </row>
    <row r="905" spans="13:13" ht="12.75" x14ac:dyDescent="0.2">
      <c r="M905" s="46"/>
    </row>
    <row r="906" spans="13:13" ht="12.75" x14ac:dyDescent="0.2">
      <c r="M906" s="46"/>
    </row>
    <row r="907" spans="13:13" ht="12.75" x14ac:dyDescent="0.2">
      <c r="M907" s="46"/>
    </row>
    <row r="908" spans="13:13" ht="12.75" x14ac:dyDescent="0.2">
      <c r="M908" s="46"/>
    </row>
    <row r="909" spans="13:13" ht="12.75" x14ac:dyDescent="0.2">
      <c r="M909" s="46"/>
    </row>
    <row r="910" spans="13:13" ht="12.75" x14ac:dyDescent="0.2">
      <c r="M910" s="46"/>
    </row>
    <row r="911" spans="13:13" ht="12.75" x14ac:dyDescent="0.2">
      <c r="M911" s="46"/>
    </row>
    <row r="912" spans="13:13" ht="12.75" x14ac:dyDescent="0.2">
      <c r="M912" s="46"/>
    </row>
    <row r="913" spans="13:13" ht="12.75" x14ac:dyDescent="0.2">
      <c r="M913" s="46"/>
    </row>
    <row r="914" spans="13:13" ht="12.75" x14ac:dyDescent="0.2">
      <c r="M914" s="46"/>
    </row>
    <row r="915" spans="13:13" ht="12.75" x14ac:dyDescent="0.2">
      <c r="M915" s="46"/>
    </row>
    <row r="916" spans="13:13" ht="12.75" x14ac:dyDescent="0.2">
      <c r="M916" s="46"/>
    </row>
    <row r="917" spans="13:13" ht="12.75" x14ac:dyDescent="0.2">
      <c r="M917" s="46"/>
    </row>
    <row r="918" spans="13:13" ht="12.75" x14ac:dyDescent="0.2">
      <c r="M918" s="46"/>
    </row>
    <row r="919" spans="13:13" ht="12.75" x14ac:dyDescent="0.2">
      <c r="M919" s="46"/>
    </row>
    <row r="920" spans="13:13" ht="12.75" x14ac:dyDescent="0.2">
      <c r="M920" s="46"/>
    </row>
    <row r="921" spans="13:13" ht="12.75" x14ac:dyDescent="0.2">
      <c r="M921" s="46"/>
    </row>
    <row r="922" spans="13:13" ht="12.75" x14ac:dyDescent="0.2">
      <c r="M922" s="46"/>
    </row>
    <row r="923" spans="13:13" ht="12.75" x14ac:dyDescent="0.2">
      <c r="M923" s="46"/>
    </row>
    <row r="924" spans="13:13" ht="12.75" x14ac:dyDescent="0.2">
      <c r="M924" s="46"/>
    </row>
    <row r="925" spans="13:13" ht="12.75" x14ac:dyDescent="0.2">
      <c r="M925" s="46"/>
    </row>
    <row r="926" spans="13:13" ht="12.75" x14ac:dyDescent="0.2">
      <c r="M926" s="46"/>
    </row>
    <row r="927" spans="13:13" ht="12.75" x14ac:dyDescent="0.2">
      <c r="M927" s="46"/>
    </row>
    <row r="928" spans="13:13" ht="12.75" x14ac:dyDescent="0.2">
      <c r="M928" s="46"/>
    </row>
    <row r="929" spans="13:13" ht="12.75" x14ac:dyDescent="0.2">
      <c r="M929" s="46"/>
    </row>
    <row r="930" spans="13:13" ht="12.75" x14ac:dyDescent="0.2">
      <c r="M930" s="46"/>
    </row>
    <row r="931" spans="13:13" ht="12.75" x14ac:dyDescent="0.2">
      <c r="M931" s="46"/>
    </row>
    <row r="932" spans="13:13" ht="12.75" x14ac:dyDescent="0.2">
      <c r="M932" s="46"/>
    </row>
    <row r="933" spans="13:13" ht="12.75" x14ac:dyDescent="0.2">
      <c r="M933" s="46"/>
    </row>
    <row r="934" spans="13:13" ht="12.75" x14ac:dyDescent="0.2">
      <c r="M934" s="46"/>
    </row>
    <row r="935" spans="13:13" ht="12.75" x14ac:dyDescent="0.2">
      <c r="M935" s="46"/>
    </row>
    <row r="936" spans="13:13" ht="12.75" x14ac:dyDescent="0.2">
      <c r="M936" s="46"/>
    </row>
    <row r="937" spans="13:13" ht="12.75" x14ac:dyDescent="0.2">
      <c r="M937" s="46"/>
    </row>
    <row r="938" spans="13:13" ht="12.75" x14ac:dyDescent="0.2">
      <c r="M938" s="46"/>
    </row>
    <row r="939" spans="13:13" ht="12.75" x14ac:dyDescent="0.2">
      <c r="M939" s="46"/>
    </row>
    <row r="940" spans="13:13" ht="12.75" x14ac:dyDescent="0.2">
      <c r="M940" s="46"/>
    </row>
    <row r="941" spans="13:13" ht="12.75" x14ac:dyDescent="0.2">
      <c r="M941" s="46"/>
    </row>
    <row r="942" spans="13:13" ht="12.75" x14ac:dyDescent="0.2">
      <c r="M942" s="46"/>
    </row>
    <row r="943" spans="13:13" ht="12.75" x14ac:dyDescent="0.2">
      <c r="M943" s="46"/>
    </row>
    <row r="944" spans="13:13" ht="12.75" x14ac:dyDescent="0.2">
      <c r="M944" s="46"/>
    </row>
    <row r="945" spans="13:13" ht="12.75" x14ac:dyDescent="0.2">
      <c r="M945" s="46"/>
    </row>
    <row r="946" spans="13:13" ht="12.75" x14ac:dyDescent="0.2">
      <c r="M946" s="46"/>
    </row>
    <row r="947" spans="13:13" ht="12.75" x14ac:dyDescent="0.2">
      <c r="M947" s="46"/>
    </row>
    <row r="948" spans="13:13" ht="12.75" x14ac:dyDescent="0.2">
      <c r="M948" s="46"/>
    </row>
    <row r="949" spans="13:13" ht="12.75" x14ac:dyDescent="0.2">
      <c r="M949" s="46"/>
    </row>
    <row r="950" spans="13:13" ht="12.75" x14ac:dyDescent="0.2">
      <c r="M950" s="46"/>
    </row>
    <row r="951" spans="13:13" ht="12.75" x14ac:dyDescent="0.2">
      <c r="M951" s="46"/>
    </row>
    <row r="952" spans="13:13" ht="12.75" x14ac:dyDescent="0.2">
      <c r="M952" s="46"/>
    </row>
    <row r="953" spans="13:13" ht="12.75" x14ac:dyDescent="0.2">
      <c r="M953" s="46"/>
    </row>
    <row r="954" spans="13:13" ht="12.75" x14ac:dyDescent="0.2">
      <c r="M954" s="46"/>
    </row>
    <row r="955" spans="13:13" ht="12.75" x14ac:dyDescent="0.2">
      <c r="M955" s="46"/>
    </row>
    <row r="956" spans="13:13" ht="12.75" x14ac:dyDescent="0.2">
      <c r="M956" s="46"/>
    </row>
    <row r="957" spans="13:13" ht="12.75" x14ac:dyDescent="0.2">
      <c r="M957" s="46"/>
    </row>
    <row r="958" spans="13:13" ht="12.75" x14ac:dyDescent="0.2">
      <c r="M958" s="46"/>
    </row>
    <row r="959" spans="13:13" ht="12.75" x14ac:dyDescent="0.2">
      <c r="M959" s="46"/>
    </row>
    <row r="960" spans="13:13" ht="12.75" x14ac:dyDescent="0.2">
      <c r="M960" s="46"/>
    </row>
    <row r="961" spans="13:13" ht="12.75" x14ac:dyDescent="0.2">
      <c r="M961" s="46"/>
    </row>
    <row r="962" spans="13:13" ht="12.75" x14ac:dyDescent="0.2">
      <c r="M962" s="46"/>
    </row>
    <row r="963" spans="13:13" ht="12.75" x14ac:dyDescent="0.2">
      <c r="M963" s="46"/>
    </row>
    <row r="964" spans="13:13" ht="12.75" x14ac:dyDescent="0.2">
      <c r="M964" s="46"/>
    </row>
    <row r="965" spans="13:13" ht="12.75" x14ac:dyDescent="0.2">
      <c r="M965" s="46"/>
    </row>
    <row r="966" spans="13:13" ht="12.75" x14ac:dyDescent="0.2">
      <c r="M966" s="46"/>
    </row>
    <row r="967" spans="13:13" ht="12.75" x14ac:dyDescent="0.2">
      <c r="M967" s="46"/>
    </row>
    <row r="968" spans="13:13" ht="12.75" x14ac:dyDescent="0.2">
      <c r="M968" s="46"/>
    </row>
    <row r="969" spans="13:13" ht="12.75" x14ac:dyDescent="0.2">
      <c r="M969" s="46"/>
    </row>
    <row r="970" spans="13:13" ht="12.75" x14ac:dyDescent="0.2">
      <c r="M970" s="46"/>
    </row>
    <row r="971" spans="13:13" ht="12.75" x14ac:dyDescent="0.2">
      <c r="M971" s="46"/>
    </row>
    <row r="972" spans="13:13" ht="12.75" x14ac:dyDescent="0.2">
      <c r="M972" s="46"/>
    </row>
    <row r="973" spans="13:13" ht="12.75" x14ac:dyDescent="0.2">
      <c r="M973" s="46"/>
    </row>
    <row r="974" spans="13:13" ht="12.75" x14ac:dyDescent="0.2">
      <c r="M974" s="46"/>
    </row>
    <row r="975" spans="13:13" ht="12.75" x14ac:dyDescent="0.2">
      <c r="M975" s="46"/>
    </row>
    <row r="976" spans="13:13" ht="12.75" x14ac:dyDescent="0.2">
      <c r="M976" s="46"/>
    </row>
    <row r="977" spans="13:13" ht="12.75" x14ac:dyDescent="0.2">
      <c r="M977" s="46"/>
    </row>
    <row r="978" spans="13:13" ht="12.75" x14ac:dyDescent="0.2">
      <c r="M978" s="46"/>
    </row>
    <row r="979" spans="13:13" ht="12.75" x14ac:dyDescent="0.2">
      <c r="M979" s="46"/>
    </row>
    <row r="980" spans="13:13" ht="12.75" x14ac:dyDescent="0.2">
      <c r="M980" s="46"/>
    </row>
    <row r="981" spans="13:13" ht="12.75" x14ac:dyDescent="0.2">
      <c r="M981" s="46"/>
    </row>
    <row r="982" spans="13:13" ht="12.75" x14ac:dyDescent="0.2">
      <c r="M982" s="46"/>
    </row>
    <row r="983" spans="13:13" ht="12.75" x14ac:dyDescent="0.2">
      <c r="M983" s="46"/>
    </row>
    <row r="984" spans="13:13" ht="12.75" x14ac:dyDescent="0.2">
      <c r="M984" s="46"/>
    </row>
    <row r="985" spans="13:13" ht="12.75" x14ac:dyDescent="0.2">
      <c r="M985" s="46"/>
    </row>
    <row r="986" spans="13:13" ht="12.75" x14ac:dyDescent="0.2">
      <c r="M986" s="46"/>
    </row>
    <row r="987" spans="13:13" ht="12.75" x14ac:dyDescent="0.2">
      <c r="M987" s="46"/>
    </row>
    <row r="988" spans="13:13" ht="12.75" x14ac:dyDescent="0.2">
      <c r="M988" s="46"/>
    </row>
    <row r="989" spans="13:13" ht="12.75" x14ac:dyDescent="0.2">
      <c r="M989" s="46"/>
    </row>
    <row r="990" spans="13:13" ht="12.75" x14ac:dyDescent="0.2">
      <c r="M990" s="46"/>
    </row>
    <row r="991" spans="13:13" ht="12.75" x14ac:dyDescent="0.2">
      <c r="M991" s="46"/>
    </row>
    <row r="992" spans="13:13" ht="12.75" x14ac:dyDescent="0.2">
      <c r="M992" s="46"/>
    </row>
    <row r="993" spans="13:13" ht="12.75" x14ac:dyDescent="0.2">
      <c r="M993" s="46"/>
    </row>
    <row r="994" spans="13:13" ht="12.75" x14ac:dyDescent="0.2">
      <c r="M994" s="46"/>
    </row>
    <row r="995" spans="13:13" ht="12.75" x14ac:dyDescent="0.2">
      <c r="M995" s="46"/>
    </row>
    <row r="996" spans="13:13" ht="12.75" x14ac:dyDescent="0.2">
      <c r="M996" s="46"/>
    </row>
    <row r="997" spans="13:13" ht="12.75" x14ac:dyDescent="0.2">
      <c r="M997" s="46"/>
    </row>
    <row r="998" spans="13:13" ht="12.75" x14ac:dyDescent="0.2">
      <c r="M998" s="46"/>
    </row>
    <row r="999" spans="13:13" ht="12.75" x14ac:dyDescent="0.2">
      <c r="M999" s="46"/>
    </row>
    <row r="1000" spans="13:13" ht="12.75" x14ac:dyDescent="0.2">
      <c r="M1000" s="46"/>
    </row>
  </sheetData>
  <mergeCells count="5">
    <mergeCell ref="A3:A4"/>
    <mergeCell ref="B3:B4"/>
    <mergeCell ref="C3:C4"/>
    <mergeCell ref="D3:D4"/>
    <mergeCell ref="E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1000"/>
  <sheetViews>
    <sheetView workbookViewId="0">
      <pane ySplit="4" topLeftCell="A124" activePane="bottomLeft" state="frozen"/>
      <selection pane="bottomLeft" activeCell="I133" sqref="I133"/>
    </sheetView>
  </sheetViews>
  <sheetFormatPr defaultColWidth="12.5703125" defaultRowHeight="15.75" customHeight="1" x14ac:dyDescent="0.2"/>
  <cols>
    <col min="1" max="1" width="6.28515625" customWidth="1"/>
    <col min="3" max="3" width="29.42578125" customWidth="1"/>
    <col min="5" max="5" width="7.28515625" customWidth="1"/>
    <col min="6" max="7" width="7.85546875" customWidth="1"/>
    <col min="8" max="8" width="7.140625" customWidth="1"/>
    <col min="9" max="9" width="7.85546875" customWidth="1"/>
    <col min="10" max="10" width="8" customWidth="1"/>
    <col min="11" max="11" width="7.85546875" customWidth="1"/>
    <col min="12" max="12" width="7.7109375" customWidth="1"/>
    <col min="13" max="13" width="7.42578125" customWidth="1"/>
  </cols>
  <sheetData>
    <row r="1" spans="1:13" ht="12.75" x14ac:dyDescent="0.2">
      <c r="A1" s="28" t="s">
        <v>220</v>
      </c>
      <c r="L1" s="46"/>
    </row>
    <row r="2" spans="1:13" ht="12.75" x14ac:dyDescent="0.2">
      <c r="L2" s="46"/>
    </row>
    <row r="3" spans="1:13" ht="12.75" x14ac:dyDescent="0.2">
      <c r="A3" s="72" t="s">
        <v>23</v>
      </c>
      <c r="B3" s="72" t="s">
        <v>24</v>
      </c>
      <c r="C3" s="72" t="s">
        <v>25</v>
      </c>
      <c r="D3" s="72" t="s">
        <v>26</v>
      </c>
      <c r="E3" s="73" t="s">
        <v>30</v>
      </c>
      <c r="F3" s="74"/>
      <c r="G3" s="74"/>
      <c r="H3" s="74"/>
      <c r="I3" s="74"/>
      <c r="J3" s="74"/>
      <c r="K3" s="74"/>
      <c r="L3" s="75"/>
    </row>
    <row r="4" spans="1:13" ht="12.75" x14ac:dyDescent="0.2">
      <c r="A4" s="62"/>
      <c r="B4" s="62"/>
      <c r="C4" s="62"/>
      <c r="D4" s="62"/>
      <c r="E4" s="49" t="s">
        <v>211</v>
      </c>
      <c r="F4" s="49" t="s">
        <v>212</v>
      </c>
      <c r="G4" s="49" t="s">
        <v>213</v>
      </c>
      <c r="H4" s="49" t="s">
        <v>214</v>
      </c>
      <c r="I4" s="49" t="s">
        <v>215</v>
      </c>
      <c r="J4" s="49" t="s">
        <v>216</v>
      </c>
      <c r="K4" s="49" t="s">
        <v>217</v>
      </c>
      <c r="L4" s="48" t="s">
        <v>219</v>
      </c>
      <c r="M4" s="28" t="s">
        <v>221</v>
      </c>
    </row>
    <row r="5" spans="1:13" ht="15.75" customHeight="1" x14ac:dyDescent="0.25">
      <c r="A5" s="30">
        <v>1</v>
      </c>
      <c r="B5" s="30">
        <v>13521041</v>
      </c>
      <c r="C5" s="31" t="s">
        <v>159</v>
      </c>
      <c r="D5" s="32" t="s">
        <v>7</v>
      </c>
      <c r="E5" s="47">
        <v>6</v>
      </c>
      <c r="F5" s="47">
        <v>13.5</v>
      </c>
      <c r="G5" s="47">
        <v>15</v>
      </c>
      <c r="H5" s="47">
        <v>16</v>
      </c>
      <c r="I5" s="47">
        <v>15</v>
      </c>
      <c r="J5" s="47">
        <v>17</v>
      </c>
      <c r="K5" s="47">
        <v>2</v>
      </c>
      <c r="L5" s="48">
        <f t="shared" ref="L5:L163" si="0">SUM(E5:K5)</f>
        <v>84.5</v>
      </c>
      <c r="M5" s="28" t="s">
        <v>17</v>
      </c>
    </row>
    <row r="6" spans="1:13" ht="15.75" customHeight="1" x14ac:dyDescent="0.25">
      <c r="A6" s="30">
        <v>2</v>
      </c>
      <c r="B6" s="30">
        <v>13521043</v>
      </c>
      <c r="C6" s="31" t="s">
        <v>77</v>
      </c>
      <c r="D6" s="32" t="s">
        <v>7</v>
      </c>
      <c r="E6" s="47">
        <v>10</v>
      </c>
      <c r="F6" s="47">
        <v>20</v>
      </c>
      <c r="G6" s="47">
        <v>15</v>
      </c>
      <c r="H6" s="47">
        <v>16</v>
      </c>
      <c r="I6" s="47">
        <v>16</v>
      </c>
      <c r="J6" s="47">
        <v>17</v>
      </c>
      <c r="K6" s="47">
        <v>2</v>
      </c>
      <c r="L6" s="48">
        <f t="shared" si="0"/>
        <v>96</v>
      </c>
      <c r="M6" s="28" t="s">
        <v>18</v>
      </c>
    </row>
    <row r="7" spans="1:13" ht="15.75" customHeight="1" x14ac:dyDescent="0.25">
      <c r="A7" s="30">
        <v>3</v>
      </c>
      <c r="B7" s="30">
        <v>13521045</v>
      </c>
      <c r="C7" s="31" t="s">
        <v>74</v>
      </c>
      <c r="D7" s="32" t="s">
        <v>7</v>
      </c>
      <c r="E7" s="47">
        <v>0</v>
      </c>
      <c r="F7" s="47">
        <v>19</v>
      </c>
      <c r="G7" s="47">
        <v>15</v>
      </c>
      <c r="H7" s="47">
        <v>20</v>
      </c>
      <c r="I7" s="47">
        <v>18</v>
      </c>
      <c r="J7" s="47">
        <v>17</v>
      </c>
      <c r="K7" s="47">
        <v>2</v>
      </c>
      <c r="L7" s="48">
        <f t="shared" si="0"/>
        <v>91</v>
      </c>
      <c r="M7" s="28" t="s">
        <v>18</v>
      </c>
    </row>
    <row r="8" spans="1:13" ht="15.75" customHeight="1" x14ac:dyDescent="0.25">
      <c r="A8" s="30">
        <v>4</v>
      </c>
      <c r="B8" s="30">
        <v>13521047</v>
      </c>
      <c r="C8" s="31" t="s">
        <v>132</v>
      </c>
      <c r="D8" s="32" t="s">
        <v>7</v>
      </c>
      <c r="E8" s="47">
        <v>5</v>
      </c>
      <c r="F8" s="47">
        <v>11.5</v>
      </c>
      <c r="G8" s="47">
        <v>7.5</v>
      </c>
      <c r="H8" s="47">
        <v>20</v>
      </c>
      <c r="I8" s="47">
        <v>12</v>
      </c>
      <c r="J8" s="47">
        <v>11</v>
      </c>
      <c r="K8" s="47">
        <v>2</v>
      </c>
      <c r="L8" s="48">
        <f t="shared" si="0"/>
        <v>69</v>
      </c>
      <c r="M8" s="28" t="s">
        <v>18</v>
      </c>
    </row>
    <row r="9" spans="1:13" ht="15.75" customHeight="1" x14ac:dyDescent="0.25">
      <c r="A9" s="30">
        <v>5</v>
      </c>
      <c r="B9" s="30">
        <v>13521049</v>
      </c>
      <c r="C9" s="31" t="s">
        <v>68</v>
      </c>
      <c r="D9" s="32" t="s">
        <v>7</v>
      </c>
      <c r="E9" s="47">
        <v>10</v>
      </c>
      <c r="F9" s="47">
        <v>16.5</v>
      </c>
      <c r="G9" s="47">
        <v>15</v>
      </c>
      <c r="H9" s="47">
        <v>16</v>
      </c>
      <c r="I9" s="47">
        <v>12</v>
      </c>
      <c r="J9" s="47">
        <v>17</v>
      </c>
      <c r="K9" s="47">
        <v>2</v>
      </c>
      <c r="L9" s="48">
        <f t="shared" si="0"/>
        <v>88.5</v>
      </c>
      <c r="M9" s="28" t="s">
        <v>11</v>
      </c>
    </row>
    <row r="10" spans="1:13" ht="15.75" customHeight="1" x14ac:dyDescent="0.25">
      <c r="A10" s="30">
        <v>6</v>
      </c>
      <c r="B10" s="30">
        <v>13521051</v>
      </c>
      <c r="C10" s="31" t="s">
        <v>171</v>
      </c>
      <c r="D10" s="32" t="s">
        <v>7</v>
      </c>
      <c r="E10" s="47">
        <v>10</v>
      </c>
      <c r="F10" s="47">
        <v>14.5</v>
      </c>
      <c r="G10" s="47">
        <v>15</v>
      </c>
      <c r="H10" s="47">
        <v>12</v>
      </c>
      <c r="I10" s="47">
        <v>9</v>
      </c>
      <c r="J10" s="47">
        <v>16</v>
      </c>
      <c r="K10" s="47">
        <v>2</v>
      </c>
      <c r="L10" s="48">
        <f t="shared" si="0"/>
        <v>78.5</v>
      </c>
      <c r="M10" s="28" t="s">
        <v>17</v>
      </c>
    </row>
    <row r="11" spans="1:13" ht="15.75" customHeight="1" x14ac:dyDescent="0.25">
      <c r="A11" s="30">
        <v>7</v>
      </c>
      <c r="B11" s="30">
        <v>13521053</v>
      </c>
      <c r="C11" s="31" t="s">
        <v>191</v>
      </c>
      <c r="D11" s="32" t="s">
        <v>7</v>
      </c>
      <c r="E11" s="47">
        <v>10</v>
      </c>
      <c r="F11" s="47">
        <v>15.5</v>
      </c>
      <c r="G11" s="47">
        <v>7.5</v>
      </c>
      <c r="H11" s="47">
        <v>16</v>
      </c>
      <c r="I11" s="47">
        <v>12</v>
      </c>
      <c r="J11" s="47">
        <v>13</v>
      </c>
      <c r="K11" s="47">
        <v>2</v>
      </c>
      <c r="L11" s="48">
        <f t="shared" si="0"/>
        <v>76</v>
      </c>
      <c r="M11" s="28" t="s">
        <v>17</v>
      </c>
    </row>
    <row r="12" spans="1:13" ht="15.75" customHeight="1" x14ac:dyDescent="0.25">
      <c r="A12" s="30">
        <v>8</v>
      </c>
      <c r="B12" s="30">
        <v>13521055</v>
      </c>
      <c r="C12" s="31" t="s">
        <v>108</v>
      </c>
      <c r="D12" s="32" t="s">
        <v>7</v>
      </c>
      <c r="E12" s="47">
        <v>10</v>
      </c>
      <c r="F12" s="47">
        <v>15</v>
      </c>
      <c r="G12" s="47">
        <v>15</v>
      </c>
      <c r="H12" s="47">
        <v>16</v>
      </c>
      <c r="I12" s="47">
        <v>12</v>
      </c>
      <c r="J12" s="47">
        <v>17</v>
      </c>
      <c r="K12" s="47">
        <v>2</v>
      </c>
      <c r="L12" s="48">
        <f t="shared" si="0"/>
        <v>87</v>
      </c>
      <c r="M12" s="28" t="s">
        <v>18</v>
      </c>
    </row>
    <row r="13" spans="1:13" ht="15.75" customHeight="1" x14ac:dyDescent="0.25">
      <c r="A13" s="30">
        <v>9</v>
      </c>
      <c r="B13" s="30">
        <v>13521057</v>
      </c>
      <c r="C13" s="31" t="s">
        <v>170</v>
      </c>
      <c r="D13" s="32" t="s">
        <v>7</v>
      </c>
      <c r="E13" s="47">
        <v>10</v>
      </c>
      <c r="F13" s="47">
        <v>19</v>
      </c>
      <c r="G13" s="47">
        <v>15</v>
      </c>
      <c r="H13" s="47">
        <v>12</v>
      </c>
      <c r="I13" s="47">
        <v>10</v>
      </c>
      <c r="J13" s="47">
        <v>15</v>
      </c>
      <c r="K13" s="47">
        <v>2</v>
      </c>
      <c r="L13" s="48">
        <f t="shared" si="0"/>
        <v>83</v>
      </c>
      <c r="M13" s="28" t="s">
        <v>18</v>
      </c>
    </row>
    <row r="14" spans="1:13" ht="15.75" customHeight="1" x14ac:dyDescent="0.25">
      <c r="A14" s="30">
        <v>10</v>
      </c>
      <c r="B14" s="30">
        <v>13521059</v>
      </c>
      <c r="C14" s="31" t="s">
        <v>94</v>
      </c>
      <c r="D14" s="32" t="s">
        <v>7</v>
      </c>
      <c r="E14" s="47">
        <v>10</v>
      </c>
      <c r="F14" s="47">
        <v>16.5</v>
      </c>
      <c r="G14" s="47">
        <v>10</v>
      </c>
      <c r="H14" s="47">
        <v>16</v>
      </c>
      <c r="I14" s="47">
        <v>14</v>
      </c>
      <c r="J14" s="47">
        <v>17</v>
      </c>
      <c r="K14" s="47">
        <v>2</v>
      </c>
      <c r="L14" s="48">
        <f t="shared" si="0"/>
        <v>85.5</v>
      </c>
      <c r="M14" s="28" t="s">
        <v>18</v>
      </c>
    </row>
    <row r="15" spans="1:13" ht="15.75" customHeight="1" x14ac:dyDescent="0.25">
      <c r="A15" s="30">
        <v>11</v>
      </c>
      <c r="B15" s="30">
        <v>13521061</v>
      </c>
      <c r="C15" s="31" t="s">
        <v>143</v>
      </c>
      <c r="D15" s="32" t="s">
        <v>7</v>
      </c>
      <c r="E15" s="47">
        <v>10</v>
      </c>
      <c r="F15" s="47">
        <v>15.5</v>
      </c>
      <c r="G15" s="47">
        <v>15</v>
      </c>
      <c r="H15" s="47">
        <v>12</v>
      </c>
      <c r="I15" s="47">
        <v>14</v>
      </c>
      <c r="J15" s="47">
        <v>14</v>
      </c>
      <c r="K15" s="47">
        <v>2</v>
      </c>
      <c r="L15" s="48">
        <f t="shared" si="0"/>
        <v>82.5</v>
      </c>
      <c r="M15" s="28" t="s">
        <v>17</v>
      </c>
    </row>
    <row r="16" spans="1:13" ht="15.75" customHeight="1" x14ac:dyDescent="0.25">
      <c r="A16" s="30">
        <v>12</v>
      </c>
      <c r="B16" s="30">
        <v>13521063</v>
      </c>
      <c r="C16" s="31" t="s">
        <v>163</v>
      </c>
      <c r="D16" s="32" t="s">
        <v>7</v>
      </c>
      <c r="E16" s="47">
        <v>4.5</v>
      </c>
      <c r="F16" s="47">
        <v>16</v>
      </c>
      <c r="G16" s="47">
        <v>15</v>
      </c>
      <c r="H16" s="47">
        <v>20</v>
      </c>
      <c r="I16" s="47">
        <v>5</v>
      </c>
      <c r="J16" s="47">
        <v>17</v>
      </c>
      <c r="K16" s="47">
        <v>2</v>
      </c>
      <c r="L16" s="48">
        <f t="shared" si="0"/>
        <v>79.5</v>
      </c>
      <c r="M16" s="28" t="s">
        <v>17</v>
      </c>
    </row>
    <row r="17" spans="1:13" ht="15.75" customHeight="1" x14ac:dyDescent="0.25">
      <c r="A17" s="30">
        <v>13</v>
      </c>
      <c r="B17" s="30">
        <v>13521065</v>
      </c>
      <c r="C17" s="31" t="s">
        <v>151</v>
      </c>
      <c r="D17" s="32" t="s">
        <v>7</v>
      </c>
      <c r="E17" s="47">
        <v>10</v>
      </c>
      <c r="F17" s="47">
        <v>14.5</v>
      </c>
      <c r="G17" s="47">
        <v>5</v>
      </c>
      <c r="H17" s="47">
        <v>16</v>
      </c>
      <c r="I17" s="47">
        <v>10</v>
      </c>
      <c r="J17" s="47">
        <v>14</v>
      </c>
      <c r="K17" s="47">
        <v>2</v>
      </c>
      <c r="L17" s="48">
        <f t="shared" si="0"/>
        <v>71.5</v>
      </c>
      <c r="M17" s="28" t="s">
        <v>18</v>
      </c>
    </row>
    <row r="18" spans="1:13" ht="15.75" customHeight="1" x14ac:dyDescent="0.25">
      <c r="A18" s="30">
        <v>14</v>
      </c>
      <c r="B18" s="30">
        <v>13521067</v>
      </c>
      <c r="C18" s="31" t="s">
        <v>166</v>
      </c>
      <c r="D18" s="32" t="s">
        <v>7</v>
      </c>
      <c r="E18" s="47">
        <v>5</v>
      </c>
      <c r="F18" s="47">
        <v>16.5</v>
      </c>
      <c r="G18" s="47">
        <v>15</v>
      </c>
      <c r="H18" s="47">
        <v>16</v>
      </c>
      <c r="I18" s="47">
        <v>6</v>
      </c>
      <c r="J18" s="47">
        <v>17</v>
      </c>
      <c r="K18" s="47">
        <v>2</v>
      </c>
      <c r="L18" s="48">
        <f t="shared" si="0"/>
        <v>77.5</v>
      </c>
      <c r="M18" s="28" t="s">
        <v>99</v>
      </c>
    </row>
    <row r="19" spans="1:13" ht="15.75" customHeight="1" x14ac:dyDescent="0.25">
      <c r="A19" s="30">
        <v>15</v>
      </c>
      <c r="B19" s="30">
        <v>13521069</v>
      </c>
      <c r="C19" s="31" t="s">
        <v>178</v>
      </c>
      <c r="D19" s="32" t="s">
        <v>7</v>
      </c>
      <c r="E19" s="47">
        <v>7.5</v>
      </c>
      <c r="F19" s="47">
        <v>12</v>
      </c>
      <c r="G19" s="47">
        <v>15</v>
      </c>
      <c r="H19" s="47">
        <v>20</v>
      </c>
      <c r="I19" s="47">
        <v>3</v>
      </c>
      <c r="J19" s="47">
        <v>12</v>
      </c>
      <c r="K19" s="47">
        <v>2</v>
      </c>
      <c r="L19" s="48">
        <f t="shared" si="0"/>
        <v>71.5</v>
      </c>
      <c r="M19" s="28" t="s">
        <v>17</v>
      </c>
    </row>
    <row r="20" spans="1:13" ht="15.75" customHeight="1" x14ac:dyDescent="0.25">
      <c r="A20" s="30">
        <v>16</v>
      </c>
      <c r="B20" s="30">
        <v>13521071</v>
      </c>
      <c r="C20" s="31" t="s">
        <v>58</v>
      </c>
      <c r="D20" s="32" t="s">
        <v>7</v>
      </c>
      <c r="E20" s="47">
        <v>10</v>
      </c>
      <c r="F20" s="47">
        <v>19</v>
      </c>
      <c r="G20" s="47">
        <v>15</v>
      </c>
      <c r="H20" s="47">
        <v>20</v>
      </c>
      <c r="I20" s="47">
        <v>10</v>
      </c>
      <c r="J20" s="47">
        <v>17</v>
      </c>
      <c r="K20" s="47">
        <v>2</v>
      </c>
      <c r="L20" s="48">
        <f t="shared" si="0"/>
        <v>93</v>
      </c>
      <c r="M20" s="28" t="s">
        <v>18</v>
      </c>
    </row>
    <row r="21" spans="1:13" ht="15.75" customHeight="1" x14ac:dyDescent="0.25">
      <c r="A21" s="30">
        <v>17</v>
      </c>
      <c r="B21" s="30">
        <v>13521073</v>
      </c>
      <c r="C21" s="31" t="s">
        <v>206</v>
      </c>
      <c r="D21" s="32" t="s">
        <v>7</v>
      </c>
      <c r="E21" s="47">
        <v>6</v>
      </c>
      <c r="F21" s="47">
        <v>13.5</v>
      </c>
      <c r="G21" s="47">
        <v>15</v>
      </c>
      <c r="H21" s="47">
        <v>16</v>
      </c>
      <c r="I21" s="47">
        <v>18</v>
      </c>
      <c r="J21" s="47">
        <v>10</v>
      </c>
      <c r="K21" s="47">
        <v>2</v>
      </c>
      <c r="L21" s="48">
        <f t="shared" si="0"/>
        <v>80.5</v>
      </c>
      <c r="M21" s="28" t="s">
        <v>13</v>
      </c>
    </row>
    <row r="22" spans="1:13" ht="15.75" customHeight="1" x14ac:dyDescent="0.25">
      <c r="A22" s="30">
        <v>18</v>
      </c>
      <c r="B22" s="30">
        <v>13521075</v>
      </c>
      <c r="C22" s="31" t="s">
        <v>174</v>
      </c>
      <c r="D22" s="32" t="s">
        <v>7</v>
      </c>
      <c r="E22" s="47">
        <v>10</v>
      </c>
      <c r="F22" s="47">
        <v>13.5</v>
      </c>
      <c r="G22" s="47">
        <v>5</v>
      </c>
      <c r="H22" s="47">
        <v>12</v>
      </c>
      <c r="I22" s="47">
        <v>3</v>
      </c>
      <c r="J22" s="47">
        <v>14</v>
      </c>
      <c r="K22" s="47">
        <v>2</v>
      </c>
      <c r="L22" s="48">
        <f t="shared" si="0"/>
        <v>59.5</v>
      </c>
      <c r="M22" s="28" t="s">
        <v>222</v>
      </c>
    </row>
    <row r="23" spans="1:13" ht="15.75" customHeight="1" x14ac:dyDescent="0.25">
      <c r="A23" s="30">
        <v>19</v>
      </c>
      <c r="B23" s="30">
        <v>13521077</v>
      </c>
      <c r="C23" s="31" t="s">
        <v>82</v>
      </c>
      <c r="D23" s="32" t="s">
        <v>7</v>
      </c>
      <c r="E23" s="47">
        <v>10</v>
      </c>
      <c r="F23" s="47">
        <v>20</v>
      </c>
      <c r="G23" s="47">
        <v>15</v>
      </c>
      <c r="H23" s="47">
        <v>8</v>
      </c>
      <c r="I23" s="47">
        <v>14</v>
      </c>
      <c r="J23" s="47">
        <v>17</v>
      </c>
      <c r="K23" s="47">
        <v>2</v>
      </c>
      <c r="L23" s="48">
        <f t="shared" si="0"/>
        <v>86</v>
      </c>
      <c r="M23" s="28" t="s">
        <v>18</v>
      </c>
    </row>
    <row r="24" spans="1:13" ht="15.75" customHeight="1" x14ac:dyDescent="0.25">
      <c r="A24" s="30">
        <v>20</v>
      </c>
      <c r="B24" s="30">
        <v>13521079</v>
      </c>
      <c r="C24" s="31" t="s">
        <v>172</v>
      </c>
      <c r="D24" s="32" t="s">
        <v>7</v>
      </c>
      <c r="E24" s="47">
        <v>4</v>
      </c>
      <c r="F24" s="47">
        <v>13</v>
      </c>
      <c r="G24" s="47">
        <v>15</v>
      </c>
      <c r="H24" s="47">
        <v>20</v>
      </c>
      <c r="I24" s="47">
        <v>9</v>
      </c>
      <c r="J24" s="47">
        <v>17</v>
      </c>
      <c r="K24" s="47">
        <v>2</v>
      </c>
      <c r="L24" s="48">
        <f t="shared" si="0"/>
        <v>80</v>
      </c>
      <c r="M24" s="28" t="s">
        <v>17</v>
      </c>
    </row>
    <row r="25" spans="1:13" ht="15.75" customHeight="1" x14ac:dyDescent="0.25">
      <c r="A25" s="30">
        <v>21</v>
      </c>
      <c r="B25" s="30">
        <v>13521081</v>
      </c>
      <c r="C25" s="31" t="s">
        <v>88</v>
      </c>
      <c r="D25" s="32" t="s">
        <v>7</v>
      </c>
      <c r="E25" s="47">
        <v>8</v>
      </c>
      <c r="F25" s="47">
        <v>13.5</v>
      </c>
      <c r="G25" s="47">
        <v>15</v>
      </c>
      <c r="H25" s="47">
        <v>16</v>
      </c>
      <c r="I25" s="47">
        <v>12</v>
      </c>
      <c r="J25" s="47">
        <v>17</v>
      </c>
      <c r="K25" s="47">
        <v>2</v>
      </c>
      <c r="L25" s="48">
        <f t="shared" si="0"/>
        <v>83.5</v>
      </c>
      <c r="M25" s="28" t="s">
        <v>18</v>
      </c>
    </row>
    <row r="26" spans="1:13" ht="15" x14ac:dyDescent="0.25">
      <c r="A26" s="30">
        <v>22</v>
      </c>
      <c r="B26" s="30">
        <v>13521083</v>
      </c>
      <c r="C26" s="31" t="s">
        <v>168</v>
      </c>
      <c r="D26" s="32" t="s">
        <v>7</v>
      </c>
      <c r="E26" s="47">
        <v>10</v>
      </c>
      <c r="F26" s="47">
        <v>16</v>
      </c>
      <c r="G26" s="47">
        <v>0</v>
      </c>
      <c r="H26" s="47">
        <v>4</v>
      </c>
      <c r="I26" s="47">
        <v>14</v>
      </c>
      <c r="J26" s="47">
        <v>17</v>
      </c>
      <c r="K26" s="47"/>
      <c r="L26" s="48">
        <f t="shared" si="0"/>
        <v>61</v>
      </c>
    </row>
    <row r="27" spans="1:13" ht="15" x14ac:dyDescent="0.25">
      <c r="A27" s="30">
        <v>23</v>
      </c>
      <c r="B27" s="30">
        <v>13521085</v>
      </c>
      <c r="C27" s="31" t="s">
        <v>81</v>
      </c>
      <c r="D27" s="32" t="s">
        <v>7</v>
      </c>
      <c r="E27" s="47">
        <v>10</v>
      </c>
      <c r="F27" s="47">
        <v>19.5</v>
      </c>
      <c r="G27" s="47">
        <v>15</v>
      </c>
      <c r="H27" s="47">
        <v>16</v>
      </c>
      <c r="I27" s="47">
        <v>14</v>
      </c>
      <c r="J27" s="47">
        <v>17</v>
      </c>
      <c r="K27" s="47">
        <v>2</v>
      </c>
      <c r="L27" s="48">
        <f t="shared" si="0"/>
        <v>93.5</v>
      </c>
      <c r="M27" s="28" t="s">
        <v>18</v>
      </c>
    </row>
    <row r="28" spans="1:13" ht="15" x14ac:dyDescent="0.25">
      <c r="A28" s="30">
        <v>24</v>
      </c>
      <c r="B28" s="30">
        <v>13521087</v>
      </c>
      <c r="C28" s="31" t="s">
        <v>148</v>
      </c>
      <c r="D28" s="32" t="s">
        <v>7</v>
      </c>
      <c r="E28" s="47">
        <v>8</v>
      </c>
      <c r="F28" s="47">
        <v>16</v>
      </c>
      <c r="G28" s="47">
        <v>15</v>
      </c>
      <c r="H28" s="47">
        <v>12</v>
      </c>
      <c r="I28" s="47">
        <v>10</v>
      </c>
      <c r="J28" s="47">
        <v>17</v>
      </c>
      <c r="K28" s="47">
        <v>2</v>
      </c>
      <c r="L28" s="48">
        <f t="shared" si="0"/>
        <v>80</v>
      </c>
      <c r="M28" s="28" t="s">
        <v>17</v>
      </c>
    </row>
    <row r="29" spans="1:13" ht="15" x14ac:dyDescent="0.25">
      <c r="A29" s="30">
        <v>25</v>
      </c>
      <c r="B29" s="30">
        <v>13521089</v>
      </c>
      <c r="C29" s="31" t="s">
        <v>66</v>
      </c>
      <c r="D29" s="32" t="s">
        <v>7</v>
      </c>
      <c r="E29" s="47">
        <v>10</v>
      </c>
      <c r="F29" s="47">
        <v>16.5</v>
      </c>
      <c r="G29" s="47">
        <v>15</v>
      </c>
      <c r="H29" s="47">
        <v>20</v>
      </c>
      <c r="I29" s="47">
        <v>10</v>
      </c>
      <c r="J29" s="47">
        <v>17</v>
      </c>
      <c r="K29" s="47">
        <v>2</v>
      </c>
      <c r="L29" s="48">
        <f t="shared" si="0"/>
        <v>90.5</v>
      </c>
      <c r="M29" s="28" t="s">
        <v>18</v>
      </c>
    </row>
    <row r="30" spans="1:13" ht="15" x14ac:dyDescent="0.25">
      <c r="A30" s="30">
        <v>26</v>
      </c>
      <c r="B30" s="30">
        <v>13521091</v>
      </c>
      <c r="C30" s="31" t="s">
        <v>186</v>
      </c>
      <c r="D30" s="32" t="s">
        <v>7</v>
      </c>
      <c r="E30" s="47">
        <v>10</v>
      </c>
      <c r="F30" s="47">
        <v>15</v>
      </c>
      <c r="G30" s="47">
        <v>5</v>
      </c>
      <c r="H30" s="47">
        <v>12</v>
      </c>
      <c r="I30" s="47">
        <v>12</v>
      </c>
      <c r="J30" s="47">
        <v>11</v>
      </c>
      <c r="K30" s="47">
        <v>2</v>
      </c>
      <c r="L30" s="48">
        <f t="shared" si="0"/>
        <v>67</v>
      </c>
      <c r="M30" s="28" t="s">
        <v>18</v>
      </c>
    </row>
    <row r="31" spans="1:13" ht="15" x14ac:dyDescent="0.25">
      <c r="A31" s="30">
        <v>27</v>
      </c>
      <c r="B31" s="30">
        <v>13521093</v>
      </c>
      <c r="C31" s="31" t="s">
        <v>114</v>
      </c>
      <c r="D31" s="32" t="s">
        <v>7</v>
      </c>
      <c r="E31" s="47">
        <v>5</v>
      </c>
      <c r="F31" s="47">
        <v>19</v>
      </c>
      <c r="G31" s="47">
        <v>10</v>
      </c>
      <c r="H31" s="47">
        <v>8</v>
      </c>
      <c r="I31" s="47">
        <v>9</v>
      </c>
      <c r="J31" s="47">
        <v>17</v>
      </c>
      <c r="K31" s="47">
        <v>2</v>
      </c>
      <c r="L31" s="48">
        <f t="shared" si="0"/>
        <v>70</v>
      </c>
      <c r="M31" s="28" t="s">
        <v>18</v>
      </c>
    </row>
    <row r="32" spans="1:13" ht="15" x14ac:dyDescent="0.25">
      <c r="A32" s="30">
        <v>28</v>
      </c>
      <c r="B32" s="30">
        <v>13521095</v>
      </c>
      <c r="C32" s="31" t="s">
        <v>105</v>
      </c>
      <c r="D32" s="32" t="s">
        <v>7</v>
      </c>
      <c r="E32" s="47">
        <v>9.5</v>
      </c>
      <c r="F32" s="47">
        <v>9.5</v>
      </c>
      <c r="G32" s="47">
        <v>15</v>
      </c>
      <c r="H32" s="47">
        <v>12</v>
      </c>
      <c r="I32" s="47">
        <v>14</v>
      </c>
      <c r="J32" s="47">
        <v>14</v>
      </c>
      <c r="K32" s="47">
        <v>2</v>
      </c>
      <c r="L32" s="48">
        <f t="shared" si="0"/>
        <v>76</v>
      </c>
      <c r="M32" s="28" t="s">
        <v>17</v>
      </c>
    </row>
    <row r="33" spans="1:13" ht="15" x14ac:dyDescent="0.25">
      <c r="A33" s="30">
        <v>29</v>
      </c>
      <c r="B33" s="30">
        <v>13521097</v>
      </c>
      <c r="C33" s="31" t="s">
        <v>131</v>
      </c>
      <c r="D33" s="32" t="s">
        <v>7</v>
      </c>
      <c r="E33" s="47">
        <v>9.5</v>
      </c>
      <c r="F33" s="47">
        <v>11.5</v>
      </c>
      <c r="G33" s="47">
        <v>5</v>
      </c>
      <c r="H33" s="47">
        <v>16</v>
      </c>
      <c r="I33" s="47">
        <v>14</v>
      </c>
      <c r="J33" s="47">
        <v>17</v>
      </c>
      <c r="K33" s="47">
        <v>2</v>
      </c>
      <c r="L33" s="48">
        <f t="shared" si="0"/>
        <v>75</v>
      </c>
      <c r="M33" s="28" t="s">
        <v>17</v>
      </c>
    </row>
    <row r="34" spans="1:13" ht="15" x14ac:dyDescent="0.25">
      <c r="A34" s="30">
        <v>30</v>
      </c>
      <c r="B34" s="30">
        <v>13521099</v>
      </c>
      <c r="C34" s="31" t="s">
        <v>128</v>
      </c>
      <c r="D34" s="32" t="s">
        <v>7</v>
      </c>
      <c r="E34" s="47">
        <v>10</v>
      </c>
      <c r="F34" s="47">
        <v>13.5</v>
      </c>
      <c r="G34" s="47">
        <v>15</v>
      </c>
      <c r="H34" s="47">
        <v>16</v>
      </c>
      <c r="I34" s="47">
        <v>14</v>
      </c>
      <c r="J34" s="47">
        <v>15</v>
      </c>
      <c r="K34" s="47">
        <v>2</v>
      </c>
      <c r="L34" s="48">
        <f t="shared" si="0"/>
        <v>85.5</v>
      </c>
      <c r="M34" s="28" t="s">
        <v>17</v>
      </c>
    </row>
    <row r="35" spans="1:13" ht="15" x14ac:dyDescent="0.25">
      <c r="A35" s="30">
        <v>31</v>
      </c>
      <c r="B35" s="30">
        <v>13521101</v>
      </c>
      <c r="C35" s="31" t="s">
        <v>48</v>
      </c>
      <c r="D35" s="32" t="s">
        <v>7</v>
      </c>
      <c r="E35" s="47">
        <v>10</v>
      </c>
      <c r="F35" s="47">
        <v>16.5</v>
      </c>
      <c r="G35" s="47">
        <v>15</v>
      </c>
      <c r="H35" s="47">
        <v>16</v>
      </c>
      <c r="I35" s="47">
        <v>18</v>
      </c>
      <c r="J35" s="47">
        <v>17</v>
      </c>
      <c r="K35" s="47">
        <v>2</v>
      </c>
      <c r="L35" s="48">
        <f t="shared" si="0"/>
        <v>94.5</v>
      </c>
    </row>
    <row r="36" spans="1:13" ht="15" x14ac:dyDescent="0.25">
      <c r="A36" s="30">
        <v>32</v>
      </c>
      <c r="B36" s="30">
        <v>13521103</v>
      </c>
      <c r="C36" s="31" t="s">
        <v>162</v>
      </c>
      <c r="D36" s="32" t="s">
        <v>7</v>
      </c>
      <c r="E36" s="47">
        <v>10</v>
      </c>
      <c r="F36" s="47">
        <v>9</v>
      </c>
      <c r="G36" s="47">
        <v>7.5</v>
      </c>
      <c r="H36" s="47">
        <v>16</v>
      </c>
      <c r="I36" s="47">
        <v>12</v>
      </c>
      <c r="J36" s="47">
        <v>17</v>
      </c>
      <c r="K36" s="47">
        <v>2</v>
      </c>
      <c r="L36" s="48">
        <f t="shared" si="0"/>
        <v>73.5</v>
      </c>
    </row>
    <row r="37" spans="1:13" ht="15" x14ac:dyDescent="0.25">
      <c r="A37" s="30">
        <v>33</v>
      </c>
      <c r="B37" s="30">
        <v>13521105</v>
      </c>
      <c r="C37" s="31" t="s">
        <v>140</v>
      </c>
      <c r="D37" s="32" t="s">
        <v>7</v>
      </c>
      <c r="E37" s="47">
        <v>10</v>
      </c>
      <c r="F37" s="47">
        <v>12</v>
      </c>
      <c r="G37" s="47">
        <v>10</v>
      </c>
      <c r="H37" s="47">
        <v>20</v>
      </c>
      <c r="I37" s="47">
        <v>14</v>
      </c>
      <c r="J37" s="47">
        <v>14</v>
      </c>
      <c r="K37" s="47">
        <v>2</v>
      </c>
      <c r="L37" s="48">
        <f t="shared" si="0"/>
        <v>82</v>
      </c>
      <c r="M37" s="28" t="s">
        <v>18</v>
      </c>
    </row>
    <row r="38" spans="1:13" ht="15" x14ac:dyDescent="0.25">
      <c r="A38" s="30">
        <v>34</v>
      </c>
      <c r="B38" s="30">
        <v>13521107</v>
      </c>
      <c r="C38" s="31" t="s">
        <v>62</v>
      </c>
      <c r="D38" s="32" t="s">
        <v>7</v>
      </c>
      <c r="E38" s="47">
        <v>10</v>
      </c>
      <c r="F38" s="47">
        <v>15.5</v>
      </c>
      <c r="G38" s="47">
        <v>7.5</v>
      </c>
      <c r="H38" s="47">
        <v>20</v>
      </c>
      <c r="I38" s="47">
        <v>14</v>
      </c>
      <c r="J38" s="47">
        <v>17</v>
      </c>
      <c r="K38" s="47">
        <v>2</v>
      </c>
      <c r="L38" s="48">
        <f t="shared" si="0"/>
        <v>86</v>
      </c>
      <c r="M38" s="28" t="s">
        <v>18</v>
      </c>
    </row>
    <row r="39" spans="1:13" ht="15" x14ac:dyDescent="0.25">
      <c r="A39" s="30">
        <v>35</v>
      </c>
      <c r="B39" s="30">
        <v>13521109</v>
      </c>
      <c r="C39" s="31" t="s">
        <v>184</v>
      </c>
      <c r="D39" s="32" t="s">
        <v>7</v>
      </c>
      <c r="E39" s="47">
        <v>5</v>
      </c>
      <c r="F39" s="47">
        <v>13</v>
      </c>
      <c r="G39" s="47">
        <v>15</v>
      </c>
      <c r="H39" s="47">
        <v>12</v>
      </c>
      <c r="I39" s="47">
        <v>11</v>
      </c>
      <c r="J39" s="47">
        <v>12</v>
      </c>
      <c r="K39" s="47">
        <v>2</v>
      </c>
      <c r="L39" s="48">
        <f t="shared" si="0"/>
        <v>70</v>
      </c>
      <c r="M39" s="28" t="s">
        <v>17</v>
      </c>
    </row>
    <row r="40" spans="1:13" ht="15" x14ac:dyDescent="0.25">
      <c r="A40" s="30">
        <v>36</v>
      </c>
      <c r="B40" s="30">
        <v>13521111</v>
      </c>
      <c r="C40" s="31" t="s">
        <v>96</v>
      </c>
      <c r="D40" s="32" t="s">
        <v>7</v>
      </c>
      <c r="E40" s="47">
        <v>10</v>
      </c>
      <c r="F40" s="47">
        <v>17</v>
      </c>
      <c r="G40" s="47">
        <v>15</v>
      </c>
      <c r="H40" s="47">
        <v>12</v>
      </c>
      <c r="I40" s="47">
        <v>12</v>
      </c>
      <c r="J40" s="47">
        <v>16</v>
      </c>
      <c r="K40" s="47">
        <v>2</v>
      </c>
      <c r="L40" s="48">
        <f t="shared" si="0"/>
        <v>84</v>
      </c>
      <c r="M40" s="28" t="s">
        <v>18</v>
      </c>
    </row>
    <row r="41" spans="1:13" ht="15" x14ac:dyDescent="0.25">
      <c r="A41" s="30">
        <v>37</v>
      </c>
      <c r="B41" s="30">
        <v>13521115</v>
      </c>
      <c r="C41" s="31" t="s">
        <v>126</v>
      </c>
      <c r="D41" s="32" t="s">
        <v>7</v>
      </c>
      <c r="E41" s="47">
        <v>5</v>
      </c>
      <c r="F41" s="47">
        <v>10</v>
      </c>
      <c r="G41" s="47">
        <v>15</v>
      </c>
      <c r="H41" s="47">
        <v>16</v>
      </c>
      <c r="I41" s="47">
        <v>11</v>
      </c>
      <c r="J41" s="47">
        <v>15</v>
      </c>
      <c r="K41" s="47">
        <v>2</v>
      </c>
      <c r="L41" s="48">
        <f t="shared" si="0"/>
        <v>74</v>
      </c>
      <c r="M41" s="28" t="s">
        <v>15</v>
      </c>
    </row>
    <row r="42" spans="1:13" ht="15" x14ac:dyDescent="0.25">
      <c r="A42" s="30">
        <v>38</v>
      </c>
      <c r="B42" s="30">
        <v>13521117</v>
      </c>
      <c r="C42" s="31" t="s">
        <v>207</v>
      </c>
      <c r="D42" s="32" t="s">
        <v>7</v>
      </c>
      <c r="E42" s="47">
        <v>5</v>
      </c>
      <c r="F42" s="47">
        <v>10</v>
      </c>
      <c r="G42" s="47">
        <v>15</v>
      </c>
      <c r="H42" s="47">
        <v>16</v>
      </c>
      <c r="I42" s="47">
        <v>1</v>
      </c>
      <c r="J42" s="47">
        <v>6</v>
      </c>
      <c r="K42" s="47">
        <v>2</v>
      </c>
      <c r="L42" s="48">
        <f t="shared" si="0"/>
        <v>55</v>
      </c>
      <c r="M42" s="28" t="s">
        <v>15</v>
      </c>
    </row>
    <row r="43" spans="1:13" ht="15" x14ac:dyDescent="0.25">
      <c r="A43" s="30">
        <v>39</v>
      </c>
      <c r="B43" s="30">
        <v>13521119</v>
      </c>
      <c r="C43" s="31" t="s">
        <v>101</v>
      </c>
      <c r="D43" s="32" t="s">
        <v>7</v>
      </c>
      <c r="E43" s="47">
        <v>8</v>
      </c>
      <c r="F43" s="47">
        <v>15.5</v>
      </c>
      <c r="G43" s="47">
        <v>15</v>
      </c>
      <c r="H43" s="47">
        <v>16</v>
      </c>
      <c r="I43" s="47">
        <v>15</v>
      </c>
      <c r="J43" s="47">
        <v>17</v>
      </c>
      <c r="K43" s="47">
        <v>2</v>
      </c>
      <c r="L43" s="48">
        <f t="shared" si="0"/>
        <v>88.5</v>
      </c>
      <c r="M43" s="28" t="s">
        <v>17</v>
      </c>
    </row>
    <row r="44" spans="1:13" ht="15" x14ac:dyDescent="0.25">
      <c r="A44" s="30">
        <v>40</v>
      </c>
      <c r="B44" s="30">
        <v>13521121</v>
      </c>
      <c r="C44" s="31" t="s">
        <v>141</v>
      </c>
      <c r="D44" s="32" t="s">
        <v>7</v>
      </c>
      <c r="E44" s="47">
        <v>10</v>
      </c>
      <c r="F44" s="47">
        <v>9</v>
      </c>
      <c r="G44" s="47">
        <v>7.5</v>
      </c>
      <c r="H44" s="47">
        <v>20</v>
      </c>
      <c r="I44" s="47">
        <v>3</v>
      </c>
      <c r="J44" s="47">
        <v>16</v>
      </c>
      <c r="K44" s="47">
        <v>2</v>
      </c>
      <c r="L44" s="48">
        <f t="shared" si="0"/>
        <v>67.5</v>
      </c>
      <c r="M44" s="28" t="s">
        <v>17</v>
      </c>
    </row>
    <row r="45" spans="1:13" ht="15" x14ac:dyDescent="0.25">
      <c r="A45" s="30">
        <v>41</v>
      </c>
      <c r="B45" s="30">
        <v>13521123</v>
      </c>
      <c r="C45" s="31" t="s">
        <v>43</v>
      </c>
      <c r="D45" s="32" t="s">
        <v>7</v>
      </c>
      <c r="E45" s="47">
        <v>10</v>
      </c>
      <c r="F45" s="47">
        <v>19.5</v>
      </c>
      <c r="G45" s="47">
        <v>15</v>
      </c>
      <c r="H45" s="47">
        <v>20</v>
      </c>
      <c r="I45" s="47">
        <v>18</v>
      </c>
      <c r="J45" s="47">
        <v>17</v>
      </c>
      <c r="K45" s="47">
        <v>2</v>
      </c>
      <c r="L45" s="48">
        <f t="shared" si="0"/>
        <v>101.5</v>
      </c>
      <c r="M45" s="28" t="s">
        <v>17</v>
      </c>
    </row>
    <row r="46" spans="1:13" ht="15" x14ac:dyDescent="0.25">
      <c r="A46" s="30">
        <v>42</v>
      </c>
      <c r="B46" s="30">
        <v>13521125</v>
      </c>
      <c r="C46" s="31" t="s">
        <v>204</v>
      </c>
      <c r="D46" s="32" t="s">
        <v>7</v>
      </c>
      <c r="E46" s="47">
        <v>9</v>
      </c>
      <c r="F46" s="47">
        <v>6</v>
      </c>
      <c r="G46" s="47">
        <v>3</v>
      </c>
      <c r="H46" s="47">
        <v>20</v>
      </c>
      <c r="I46" s="47">
        <v>10</v>
      </c>
      <c r="J46" s="47">
        <v>13</v>
      </c>
      <c r="K46" s="47">
        <v>2</v>
      </c>
      <c r="L46" s="48">
        <f t="shared" si="0"/>
        <v>63</v>
      </c>
      <c r="M46" s="28" t="s">
        <v>15</v>
      </c>
    </row>
    <row r="47" spans="1:13" ht="15" x14ac:dyDescent="0.25">
      <c r="A47" s="30">
        <v>43</v>
      </c>
      <c r="B47" s="30">
        <v>13521127</v>
      </c>
      <c r="C47" s="31" t="s">
        <v>71</v>
      </c>
      <c r="D47" s="32" t="s">
        <v>7</v>
      </c>
      <c r="E47" s="47">
        <v>10</v>
      </c>
      <c r="F47" s="47">
        <v>12</v>
      </c>
      <c r="G47" s="47">
        <v>15</v>
      </c>
      <c r="H47" s="47">
        <v>20</v>
      </c>
      <c r="I47" s="47">
        <v>14</v>
      </c>
      <c r="J47" s="47">
        <v>15</v>
      </c>
      <c r="K47" s="47">
        <v>2</v>
      </c>
      <c r="L47" s="48">
        <f t="shared" si="0"/>
        <v>88</v>
      </c>
    </row>
    <row r="48" spans="1:13" ht="15" x14ac:dyDescent="0.25">
      <c r="A48" s="30">
        <v>44</v>
      </c>
      <c r="B48" s="30">
        <v>13521129</v>
      </c>
      <c r="C48" s="31" t="s">
        <v>70</v>
      </c>
      <c r="D48" s="32" t="s">
        <v>7</v>
      </c>
      <c r="E48" s="47">
        <v>10</v>
      </c>
      <c r="F48" s="47">
        <v>16</v>
      </c>
      <c r="G48" s="47">
        <v>7.5</v>
      </c>
      <c r="H48" s="47">
        <v>16</v>
      </c>
      <c r="I48" s="47">
        <v>18</v>
      </c>
      <c r="J48" s="47">
        <v>12</v>
      </c>
      <c r="K48" s="47">
        <v>2</v>
      </c>
      <c r="L48" s="48">
        <f t="shared" si="0"/>
        <v>81.5</v>
      </c>
      <c r="M48" s="28" t="s">
        <v>18</v>
      </c>
    </row>
    <row r="49" spans="1:13" ht="15" x14ac:dyDescent="0.25">
      <c r="A49" s="30">
        <v>45</v>
      </c>
      <c r="B49" s="30">
        <v>13521131</v>
      </c>
      <c r="C49" s="31" t="s">
        <v>155</v>
      </c>
      <c r="D49" s="32" t="s">
        <v>7</v>
      </c>
      <c r="E49" s="47">
        <v>2</v>
      </c>
      <c r="F49" s="47">
        <v>12.5</v>
      </c>
      <c r="G49" s="47">
        <v>15</v>
      </c>
      <c r="H49" s="47">
        <v>12</v>
      </c>
      <c r="I49" s="47">
        <v>12</v>
      </c>
      <c r="J49" s="47">
        <v>13</v>
      </c>
      <c r="K49" s="47">
        <v>2</v>
      </c>
      <c r="L49" s="48">
        <f t="shared" si="0"/>
        <v>68.5</v>
      </c>
      <c r="M49" s="28" t="s">
        <v>17</v>
      </c>
    </row>
    <row r="50" spans="1:13" ht="15" x14ac:dyDescent="0.25">
      <c r="A50" s="30">
        <v>46</v>
      </c>
      <c r="B50" s="30">
        <v>13521133</v>
      </c>
      <c r="C50" s="31" t="s">
        <v>192</v>
      </c>
      <c r="D50" s="32" t="s">
        <v>7</v>
      </c>
      <c r="E50" s="47">
        <v>10</v>
      </c>
      <c r="F50" s="47">
        <v>9.5</v>
      </c>
      <c r="G50" s="47">
        <v>15</v>
      </c>
      <c r="H50" s="47">
        <v>12</v>
      </c>
      <c r="I50" s="47">
        <v>10</v>
      </c>
      <c r="J50" s="47">
        <v>10</v>
      </c>
      <c r="K50" s="47">
        <v>1</v>
      </c>
      <c r="L50" s="48">
        <f t="shared" si="0"/>
        <v>67.5</v>
      </c>
      <c r="M50" s="28" t="s">
        <v>17</v>
      </c>
    </row>
    <row r="51" spans="1:13" ht="15" x14ac:dyDescent="0.25">
      <c r="A51" s="30">
        <v>47</v>
      </c>
      <c r="B51" s="30">
        <v>13521135</v>
      </c>
      <c r="C51" s="31" t="s">
        <v>69</v>
      </c>
      <c r="D51" s="32" t="s">
        <v>7</v>
      </c>
      <c r="E51" s="47">
        <v>10</v>
      </c>
      <c r="F51" s="47">
        <v>19.5</v>
      </c>
      <c r="G51" s="47">
        <v>15</v>
      </c>
      <c r="H51" s="47">
        <v>20</v>
      </c>
      <c r="I51" s="47">
        <v>12</v>
      </c>
      <c r="J51" s="47">
        <v>12</v>
      </c>
      <c r="K51" s="47">
        <v>2</v>
      </c>
      <c r="L51" s="48">
        <f t="shared" si="0"/>
        <v>90.5</v>
      </c>
      <c r="M51" s="28" t="s">
        <v>18</v>
      </c>
    </row>
    <row r="52" spans="1:13" ht="15" x14ac:dyDescent="0.25">
      <c r="A52" s="30">
        <v>48</v>
      </c>
      <c r="B52" s="30">
        <v>13521137</v>
      </c>
      <c r="C52" s="31" t="s">
        <v>46</v>
      </c>
      <c r="D52" s="32" t="s">
        <v>7</v>
      </c>
      <c r="E52" s="47">
        <v>10</v>
      </c>
      <c r="F52" s="47">
        <v>19</v>
      </c>
      <c r="G52" s="47">
        <v>15</v>
      </c>
      <c r="H52" s="47">
        <v>20</v>
      </c>
      <c r="I52" s="47">
        <v>18</v>
      </c>
      <c r="J52" s="47">
        <v>11</v>
      </c>
      <c r="K52" s="47">
        <v>1</v>
      </c>
      <c r="L52" s="48">
        <f t="shared" si="0"/>
        <v>94</v>
      </c>
      <c r="M52" s="28" t="s">
        <v>18</v>
      </c>
    </row>
    <row r="53" spans="1:13" ht="15" x14ac:dyDescent="0.25">
      <c r="A53" s="30">
        <v>49</v>
      </c>
      <c r="B53" s="30">
        <v>13521139</v>
      </c>
      <c r="C53" s="31" t="s">
        <v>85</v>
      </c>
      <c r="D53" s="32" t="s">
        <v>7</v>
      </c>
      <c r="E53" s="47">
        <v>10</v>
      </c>
      <c r="F53" s="47">
        <v>18.5</v>
      </c>
      <c r="G53" s="47">
        <v>15</v>
      </c>
      <c r="H53" s="47">
        <v>20</v>
      </c>
      <c r="I53" s="47">
        <v>14</v>
      </c>
      <c r="J53" s="47">
        <v>17</v>
      </c>
      <c r="K53" s="47">
        <v>2</v>
      </c>
      <c r="L53" s="48">
        <f t="shared" si="0"/>
        <v>96.5</v>
      </c>
      <c r="M53" s="28" t="s">
        <v>17</v>
      </c>
    </row>
    <row r="54" spans="1:13" ht="15" x14ac:dyDescent="0.25">
      <c r="A54" s="30">
        <v>50</v>
      </c>
      <c r="B54" s="30">
        <v>13521141</v>
      </c>
      <c r="C54" s="31" t="s">
        <v>196</v>
      </c>
      <c r="D54" s="32" t="s">
        <v>7</v>
      </c>
      <c r="E54" s="47">
        <v>10</v>
      </c>
      <c r="F54" s="47">
        <v>11.5</v>
      </c>
      <c r="G54" s="47">
        <v>15</v>
      </c>
      <c r="H54" s="47">
        <v>12</v>
      </c>
      <c r="I54" s="47">
        <v>10</v>
      </c>
      <c r="J54" s="47">
        <v>8</v>
      </c>
      <c r="K54" s="47">
        <v>2</v>
      </c>
      <c r="L54" s="48">
        <f t="shared" si="0"/>
        <v>68.5</v>
      </c>
      <c r="M54" s="28" t="s">
        <v>17</v>
      </c>
    </row>
    <row r="55" spans="1:13" ht="15" x14ac:dyDescent="0.25">
      <c r="A55" s="30">
        <v>51</v>
      </c>
      <c r="B55" s="30">
        <v>13521143</v>
      </c>
      <c r="C55" s="31" t="s">
        <v>103</v>
      </c>
      <c r="D55" s="32" t="s">
        <v>7</v>
      </c>
      <c r="E55" s="47">
        <v>10</v>
      </c>
      <c r="F55" s="47">
        <v>12</v>
      </c>
      <c r="G55" s="47">
        <v>15</v>
      </c>
      <c r="H55" s="47">
        <v>12</v>
      </c>
      <c r="I55" s="47">
        <v>12</v>
      </c>
      <c r="J55" s="47">
        <v>17</v>
      </c>
      <c r="K55" s="47">
        <v>2</v>
      </c>
      <c r="L55" s="48">
        <f t="shared" si="0"/>
        <v>80</v>
      </c>
    </row>
    <row r="56" spans="1:13" ht="15" x14ac:dyDescent="0.25">
      <c r="A56" s="30">
        <v>52</v>
      </c>
      <c r="B56" s="30">
        <v>13521145</v>
      </c>
      <c r="C56" s="31" t="s">
        <v>144</v>
      </c>
      <c r="D56" s="32" t="s">
        <v>7</v>
      </c>
      <c r="E56" s="47">
        <v>7</v>
      </c>
      <c r="F56" s="47">
        <v>12.5</v>
      </c>
      <c r="G56" s="47">
        <v>15</v>
      </c>
      <c r="H56" s="47">
        <v>16</v>
      </c>
      <c r="I56" s="47">
        <v>10</v>
      </c>
      <c r="J56" s="47">
        <v>12</v>
      </c>
      <c r="K56" s="47">
        <v>2</v>
      </c>
      <c r="L56" s="48">
        <f t="shared" si="0"/>
        <v>74.5</v>
      </c>
      <c r="M56" s="28" t="s">
        <v>17</v>
      </c>
    </row>
    <row r="57" spans="1:13" ht="15" x14ac:dyDescent="0.25">
      <c r="A57" s="30">
        <v>53</v>
      </c>
      <c r="B57" s="30">
        <v>13521149</v>
      </c>
      <c r="C57" s="31" t="s">
        <v>61</v>
      </c>
      <c r="D57" s="32" t="s">
        <v>7</v>
      </c>
      <c r="E57" s="47">
        <v>10</v>
      </c>
      <c r="F57" s="47">
        <v>20</v>
      </c>
      <c r="G57" s="47">
        <v>15</v>
      </c>
      <c r="H57" s="47">
        <v>20</v>
      </c>
      <c r="I57" s="47">
        <v>14</v>
      </c>
      <c r="J57" s="47">
        <v>17</v>
      </c>
      <c r="K57" s="47">
        <v>2</v>
      </c>
      <c r="L57" s="48">
        <f t="shared" si="0"/>
        <v>98</v>
      </c>
      <c r="M57" s="28" t="s">
        <v>99</v>
      </c>
    </row>
    <row r="58" spans="1:13" ht="15" x14ac:dyDescent="0.25">
      <c r="A58" s="30">
        <v>54</v>
      </c>
      <c r="B58" s="30">
        <v>13521151</v>
      </c>
      <c r="C58" s="31" t="s">
        <v>183</v>
      </c>
      <c r="D58" s="32" t="s">
        <v>7</v>
      </c>
      <c r="E58" s="47">
        <v>8</v>
      </c>
      <c r="F58" s="47">
        <v>14</v>
      </c>
      <c r="G58" s="47">
        <v>15</v>
      </c>
      <c r="H58" s="47">
        <v>16</v>
      </c>
      <c r="I58" s="47">
        <v>15</v>
      </c>
      <c r="J58" s="47">
        <v>12</v>
      </c>
      <c r="K58" s="47">
        <v>2</v>
      </c>
      <c r="L58" s="48">
        <f t="shared" si="0"/>
        <v>82</v>
      </c>
      <c r="M58" s="28" t="s">
        <v>17</v>
      </c>
    </row>
    <row r="59" spans="1:13" ht="15" x14ac:dyDescent="0.25">
      <c r="A59" s="30">
        <v>55</v>
      </c>
      <c r="B59" s="30">
        <v>13521153</v>
      </c>
      <c r="C59" s="31" t="s">
        <v>45</v>
      </c>
      <c r="D59" s="32" t="s">
        <v>7</v>
      </c>
      <c r="E59" s="47">
        <v>10</v>
      </c>
      <c r="F59" s="47">
        <v>19.5</v>
      </c>
      <c r="G59" s="47">
        <v>15</v>
      </c>
      <c r="H59" s="47">
        <v>20</v>
      </c>
      <c r="I59" s="47">
        <v>18</v>
      </c>
      <c r="J59" s="47">
        <v>17</v>
      </c>
      <c r="K59" s="47">
        <v>2</v>
      </c>
      <c r="L59" s="48">
        <f t="shared" si="0"/>
        <v>101.5</v>
      </c>
      <c r="M59" s="28" t="s">
        <v>17</v>
      </c>
    </row>
    <row r="60" spans="1:13" ht="15" x14ac:dyDescent="0.25">
      <c r="A60" s="30">
        <v>56</v>
      </c>
      <c r="B60" s="30">
        <v>13521155</v>
      </c>
      <c r="C60" s="31" t="s">
        <v>116</v>
      </c>
      <c r="D60" s="32" t="s">
        <v>7</v>
      </c>
      <c r="E60" s="47">
        <v>10</v>
      </c>
      <c r="F60" s="47">
        <v>15.5</v>
      </c>
      <c r="G60" s="47">
        <v>15</v>
      </c>
      <c r="H60" s="47">
        <v>12</v>
      </c>
      <c r="I60" s="47">
        <v>12</v>
      </c>
      <c r="J60" s="47">
        <v>14</v>
      </c>
      <c r="K60" s="47">
        <v>2</v>
      </c>
      <c r="L60" s="48">
        <f t="shared" si="0"/>
        <v>80.5</v>
      </c>
      <c r="M60" s="28" t="s">
        <v>17</v>
      </c>
    </row>
    <row r="61" spans="1:13" ht="15" x14ac:dyDescent="0.25">
      <c r="A61" s="30">
        <v>57</v>
      </c>
      <c r="B61" s="30">
        <v>13521157</v>
      </c>
      <c r="C61" s="31" t="s">
        <v>160</v>
      </c>
      <c r="D61" s="32" t="s">
        <v>7</v>
      </c>
      <c r="E61" s="47">
        <v>6</v>
      </c>
      <c r="F61" s="47">
        <v>17.5</v>
      </c>
      <c r="G61" s="47">
        <v>8</v>
      </c>
      <c r="H61" s="47">
        <v>12</v>
      </c>
      <c r="I61" s="47">
        <v>12</v>
      </c>
      <c r="J61" s="47">
        <v>11</v>
      </c>
      <c r="K61" s="47">
        <v>2</v>
      </c>
      <c r="L61" s="48">
        <f t="shared" si="0"/>
        <v>68.5</v>
      </c>
      <c r="M61" s="28" t="s">
        <v>18</v>
      </c>
    </row>
    <row r="62" spans="1:13" ht="15" x14ac:dyDescent="0.25">
      <c r="A62" s="30">
        <v>58</v>
      </c>
      <c r="B62" s="30">
        <v>13521159</v>
      </c>
      <c r="C62" s="31" t="s">
        <v>98</v>
      </c>
      <c r="D62" s="32" t="s">
        <v>7</v>
      </c>
      <c r="E62" s="47">
        <v>10</v>
      </c>
      <c r="F62" s="47">
        <v>11.5</v>
      </c>
      <c r="G62" s="47">
        <v>15</v>
      </c>
      <c r="H62" s="47">
        <v>16</v>
      </c>
      <c r="I62" s="47">
        <v>12</v>
      </c>
      <c r="J62" s="47">
        <v>17</v>
      </c>
      <c r="K62" s="47">
        <v>2</v>
      </c>
      <c r="L62" s="48">
        <f t="shared" si="0"/>
        <v>83.5</v>
      </c>
      <c r="M62" s="28" t="s">
        <v>18</v>
      </c>
    </row>
    <row r="63" spans="1:13" ht="15" x14ac:dyDescent="0.25">
      <c r="A63" s="30">
        <v>59</v>
      </c>
      <c r="B63" s="30">
        <v>13521161</v>
      </c>
      <c r="C63" s="31" t="s">
        <v>199</v>
      </c>
      <c r="D63" s="32" t="s">
        <v>7</v>
      </c>
      <c r="E63" s="47">
        <v>5</v>
      </c>
      <c r="F63" s="47">
        <v>7.5</v>
      </c>
      <c r="G63" s="47">
        <v>15</v>
      </c>
      <c r="H63" s="47">
        <v>16</v>
      </c>
      <c r="I63" s="47">
        <v>10</v>
      </c>
      <c r="J63" s="47">
        <v>10</v>
      </c>
      <c r="K63" s="47">
        <v>2</v>
      </c>
      <c r="L63" s="48">
        <f t="shared" si="0"/>
        <v>65.5</v>
      </c>
      <c r="M63" s="28" t="s">
        <v>15</v>
      </c>
    </row>
    <row r="64" spans="1:13" ht="15" x14ac:dyDescent="0.25">
      <c r="A64" s="30">
        <v>60</v>
      </c>
      <c r="B64" s="30">
        <v>13521163</v>
      </c>
      <c r="C64" s="31" t="s">
        <v>124</v>
      </c>
      <c r="D64" s="32" t="s">
        <v>7</v>
      </c>
      <c r="E64" s="47">
        <v>10</v>
      </c>
      <c r="F64" s="47">
        <v>13</v>
      </c>
      <c r="G64" s="47">
        <v>15</v>
      </c>
      <c r="H64" s="47">
        <v>12</v>
      </c>
      <c r="I64" s="47">
        <v>9</v>
      </c>
      <c r="J64" s="47">
        <v>14</v>
      </c>
      <c r="K64" s="47">
        <v>2</v>
      </c>
      <c r="L64" s="48">
        <f t="shared" si="0"/>
        <v>75</v>
      </c>
    </row>
    <row r="65" spans="1:14" ht="15" x14ac:dyDescent="0.25">
      <c r="A65" s="30">
        <v>61</v>
      </c>
      <c r="B65" s="30">
        <v>13521165</v>
      </c>
      <c r="C65" s="31" t="s">
        <v>164</v>
      </c>
      <c r="D65" s="32" t="s">
        <v>7</v>
      </c>
      <c r="E65" s="47">
        <v>5</v>
      </c>
      <c r="F65" s="47">
        <v>14.5</v>
      </c>
      <c r="G65" s="47">
        <v>8</v>
      </c>
      <c r="H65" s="47">
        <v>20</v>
      </c>
      <c r="I65" s="47">
        <v>18</v>
      </c>
      <c r="J65" s="47">
        <v>11</v>
      </c>
      <c r="K65" s="47">
        <v>2</v>
      </c>
      <c r="L65" s="48">
        <f t="shared" si="0"/>
        <v>78.5</v>
      </c>
      <c r="M65" s="28" t="s">
        <v>17</v>
      </c>
    </row>
    <row r="66" spans="1:14" ht="15" x14ac:dyDescent="0.25">
      <c r="A66" s="30">
        <v>62</v>
      </c>
      <c r="B66" s="30">
        <v>13521167</v>
      </c>
      <c r="C66" s="31" t="s">
        <v>208</v>
      </c>
      <c r="D66" s="32" t="s">
        <v>7</v>
      </c>
      <c r="E66" s="47">
        <v>2</v>
      </c>
      <c r="F66" s="47">
        <v>8</v>
      </c>
      <c r="G66" s="47">
        <v>0</v>
      </c>
      <c r="H66" s="47">
        <v>12</v>
      </c>
      <c r="I66" s="47">
        <v>1</v>
      </c>
      <c r="J66" s="47">
        <v>5</v>
      </c>
      <c r="K66" s="47">
        <v>2</v>
      </c>
      <c r="L66" s="48">
        <f t="shared" si="0"/>
        <v>30</v>
      </c>
      <c r="M66" s="28" t="s">
        <v>13</v>
      </c>
    </row>
    <row r="67" spans="1:14" ht="15" x14ac:dyDescent="0.25">
      <c r="A67" s="30">
        <v>63</v>
      </c>
      <c r="B67" s="30">
        <v>13521169</v>
      </c>
      <c r="C67" s="31" t="s">
        <v>97</v>
      </c>
      <c r="D67" s="32" t="s">
        <v>7</v>
      </c>
      <c r="E67" s="47">
        <v>10</v>
      </c>
      <c r="F67" s="47">
        <v>20</v>
      </c>
      <c r="G67" s="47">
        <v>15</v>
      </c>
      <c r="H67" s="47">
        <v>12</v>
      </c>
      <c r="I67" s="47">
        <v>9</v>
      </c>
      <c r="J67" s="47">
        <v>12</v>
      </c>
      <c r="K67" s="47">
        <v>2</v>
      </c>
      <c r="L67" s="48">
        <f t="shared" si="0"/>
        <v>80</v>
      </c>
      <c r="M67" s="28" t="s">
        <v>15</v>
      </c>
    </row>
    <row r="68" spans="1:14" ht="15" x14ac:dyDescent="0.25">
      <c r="A68" s="30">
        <v>64</v>
      </c>
      <c r="B68" s="30">
        <v>13521171</v>
      </c>
      <c r="C68" s="31" t="s">
        <v>84</v>
      </c>
      <c r="D68" s="32" t="s">
        <v>7</v>
      </c>
      <c r="E68" s="47">
        <v>10</v>
      </c>
      <c r="F68" s="47">
        <v>14.5</v>
      </c>
      <c r="G68" s="47">
        <v>15</v>
      </c>
      <c r="H68" s="47">
        <v>20</v>
      </c>
      <c r="I68" s="47">
        <v>14</v>
      </c>
      <c r="J68" s="47">
        <v>17</v>
      </c>
      <c r="K68" s="47">
        <v>2</v>
      </c>
      <c r="L68" s="48">
        <f t="shared" si="0"/>
        <v>92.5</v>
      </c>
      <c r="M68" s="28" t="s">
        <v>17</v>
      </c>
    </row>
    <row r="69" spans="1:14" ht="15" x14ac:dyDescent="0.25">
      <c r="A69" s="30">
        <v>65</v>
      </c>
      <c r="B69" s="30">
        <v>13521173</v>
      </c>
      <c r="C69" s="31" t="s">
        <v>95</v>
      </c>
      <c r="D69" s="32" t="s">
        <v>7</v>
      </c>
      <c r="E69" s="47">
        <v>10</v>
      </c>
      <c r="F69" s="47">
        <v>18.5</v>
      </c>
      <c r="G69" s="47">
        <v>5</v>
      </c>
      <c r="H69" s="47">
        <v>16</v>
      </c>
      <c r="I69" s="47">
        <v>10</v>
      </c>
      <c r="J69" s="47">
        <v>17</v>
      </c>
      <c r="K69" s="47">
        <v>2</v>
      </c>
      <c r="L69" s="48">
        <f t="shared" si="0"/>
        <v>78.5</v>
      </c>
      <c r="M69" s="28" t="s">
        <v>17</v>
      </c>
      <c r="N69" s="46">
        <f>AVERAGE(L5:L69)</f>
        <v>79.469230769230762</v>
      </c>
    </row>
    <row r="70" spans="1:14" ht="15" x14ac:dyDescent="0.25">
      <c r="A70" s="30">
        <v>1</v>
      </c>
      <c r="B70" s="30">
        <v>13518134</v>
      </c>
      <c r="C70" s="31" t="s">
        <v>202</v>
      </c>
      <c r="D70" s="32" t="s">
        <v>8</v>
      </c>
      <c r="E70" s="47">
        <v>10</v>
      </c>
      <c r="F70" s="47">
        <v>13.5</v>
      </c>
      <c r="G70" s="47">
        <v>15</v>
      </c>
      <c r="H70" s="47">
        <v>8</v>
      </c>
      <c r="I70" s="47">
        <v>8</v>
      </c>
      <c r="J70" s="47">
        <v>9</v>
      </c>
      <c r="K70" s="47">
        <v>2</v>
      </c>
      <c r="L70" s="48">
        <f t="shared" si="0"/>
        <v>65.5</v>
      </c>
      <c r="M70" s="28" t="s">
        <v>15</v>
      </c>
    </row>
    <row r="71" spans="1:14" ht="15" x14ac:dyDescent="0.25">
      <c r="A71" s="30">
        <v>2</v>
      </c>
      <c r="B71" s="30">
        <v>13521042</v>
      </c>
      <c r="C71" s="31" t="s">
        <v>80</v>
      </c>
      <c r="D71" s="32" t="s">
        <v>8</v>
      </c>
      <c r="E71" s="47">
        <v>9.5</v>
      </c>
      <c r="F71" s="47">
        <v>16.5</v>
      </c>
      <c r="G71" s="47">
        <v>15</v>
      </c>
      <c r="H71" s="47">
        <v>16</v>
      </c>
      <c r="I71" s="47">
        <v>12</v>
      </c>
      <c r="J71" s="47">
        <v>14</v>
      </c>
      <c r="K71" s="47">
        <v>2</v>
      </c>
      <c r="L71" s="48">
        <f t="shared" si="0"/>
        <v>85</v>
      </c>
      <c r="M71" s="28" t="s">
        <v>18</v>
      </c>
    </row>
    <row r="72" spans="1:14" ht="15" x14ac:dyDescent="0.25">
      <c r="A72" s="30">
        <v>3</v>
      </c>
      <c r="B72" s="30">
        <v>13521044</v>
      </c>
      <c r="C72" s="31" t="s">
        <v>78</v>
      </c>
      <c r="D72" s="32" t="s">
        <v>8</v>
      </c>
      <c r="E72" s="47">
        <v>10</v>
      </c>
      <c r="F72" s="47">
        <v>16</v>
      </c>
      <c r="G72" s="47">
        <v>15</v>
      </c>
      <c r="H72" s="47">
        <v>16</v>
      </c>
      <c r="I72" s="47">
        <v>14</v>
      </c>
      <c r="J72" s="47">
        <v>14</v>
      </c>
      <c r="K72" s="47">
        <v>2</v>
      </c>
      <c r="L72" s="48">
        <f t="shared" si="0"/>
        <v>87</v>
      </c>
      <c r="M72" s="28" t="s">
        <v>18</v>
      </c>
    </row>
    <row r="73" spans="1:14" ht="15" x14ac:dyDescent="0.25">
      <c r="A73" s="30">
        <v>4</v>
      </c>
      <c r="B73" s="30">
        <v>13521046</v>
      </c>
      <c r="C73" s="31" t="s">
        <v>47</v>
      </c>
      <c r="D73" s="32" t="s">
        <v>8</v>
      </c>
      <c r="E73" s="47">
        <v>10</v>
      </c>
      <c r="F73" s="47">
        <v>18.5</v>
      </c>
      <c r="G73" s="47">
        <v>15</v>
      </c>
      <c r="H73" s="47">
        <v>16</v>
      </c>
      <c r="I73" s="47">
        <v>18</v>
      </c>
      <c r="J73" s="47">
        <v>17</v>
      </c>
      <c r="K73" s="47">
        <v>2</v>
      </c>
      <c r="L73" s="48">
        <f t="shared" si="0"/>
        <v>96.5</v>
      </c>
      <c r="M73" s="28" t="s">
        <v>18</v>
      </c>
    </row>
    <row r="74" spans="1:14" ht="15" x14ac:dyDescent="0.25">
      <c r="A74" s="30">
        <v>5</v>
      </c>
      <c r="B74" s="30">
        <v>13521048</v>
      </c>
      <c r="C74" s="31" t="s">
        <v>173</v>
      </c>
      <c r="D74" s="32" t="s">
        <v>8</v>
      </c>
      <c r="E74" s="47">
        <v>10</v>
      </c>
      <c r="F74" s="47">
        <v>15.5</v>
      </c>
      <c r="G74" s="47">
        <v>15</v>
      </c>
      <c r="H74" s="47">
        <v>20</v>
      </c>
      <c r="I74" s="47">
        <v>12</v>
      </c>
      <c r="J74" s="47">
        <v>14</v>
      </c>
      <c r="K74" s="47">
        <v>2</v>
      </c>
      <c r="L74" s="48">
        <f t="shared" si="0"/>
        <v>88.5</v>
      </c>
      <c r="M74" s="28" t="s">
        <v>17</v>
      </c>
    </row>
    <row r="75" spans="1:14" ht="15" x14ac:dyDescent="0.25">
      <c r="A75" s="30">
        <v>6</v>
      </c>
      <c r="B75" s="30">
        <v>13521050</v>
      </c>
      <c r="C75" s="31" t="s">
        <v>201</v>
      </c>
      <c r="D75" s="32" t="s">
        <v>8</v>
      </c>
      <c r="E75" s="47">
        <v>5.5</v>
      </c>
      <c r="F75" s="47">
        <v>11.5</v>
      </c>
      <c r="G75" s="47">
        <v>0</v>
      </c>
      <c r="H75" s="47">
        <v>20</v>
      </c>
      <c r="I75" s="47">
        <v>10</v>
      </c>
      <c r="J75" s="47">
        <v>14</v>
      </c>
      <c r="K75" s="47">
        <v>2</v>
      </c>
      <c r="L75" s="48">
        <f t="shared" si="0"/>
        <v>63</v>
      </c>
      <c r="M75" s="28" t="s">
        <v>17</v>
      </c>
    </row>
    <row r="76" spans="1:14" ht="15" x14ac:dyDescent="0.25">
      <c r="A76" s="30">
        <v>7</v>
      </c>
      <c r="B76" s="30">
        <v>13521052</v>
      </c>
      <c r="C76" s="31" t="s">
        <v>64</v>
      </c>
      <c r="D76" s="32" t="s">
        <v>8</v>
      </c>
      <c r="E76" s="47">
        <v>10</v>
      </c>
      <c r="F76" s="47">
        <v>16.5</v>
      </c>
      <c r="G76" s="47">
        <v>15</v>
      </c>
      <c r="H76" s="47">
        <v>16</v>
      </c>
      <c r="I76" s="47">
        <v>16</v>
      </c>
      <c r="J76" s="47">
        <v>17</v>
      </c>
      <c r="K76" s="47">
        <v>2</v>
      </c>
      <c r="L76" s="48">
        <f t="shared" si="0"/>
        <v>92.5</v>
      </c>
      <c r="M76" s="28" t="s">
        <v>18</v>
      </c>
    </row>
    <row r="77" spans="1:14" ht="15" x14ac:dyDescent="0.25">
      <c r="A77" s="30">
        <v>8</v>
      </c>
      <c r="B77" s="30">
        <v>13521054</v>
      </c>
      <c r="C77" s="31" t="s">
        <v>175</v>
      </c>
      <c r="D77" s="32" t="s">
        <v>8</v>
      </c>
      <c r="E77" s="47">
        <v>10</v>
      </c>
      <c r="F77" s="47">
        <v>19</v>
      </c>
      <c r="G77" s="47">
        <v>7.5</v>
      </c>
      <c r="H77" s="47">
        <v>20</v>
      </c>
      <c r="I77" s="47">
        <v>12</v>
      </c>
      <c r="J77" s="47">
        <v>15</v>
      </c>
      <c r="K77" s="47">
        <v>2</v>
      </c>
      <c r="L77" s="48">
        <f t="shared" si="0"/>
        <v>85.5</v>
      </c>
      <c r="M77" s="28" t="s">
        <v>15</v>
      </c>
    </row>
    <row r="78" spans="1:14" ht="15" x14ac:dyDescent="0.25">
      <c r="A78" s="30">
        <v>9</v>
      </c>
      <c r="B78" s="30">
        <v>13521056</v>
      </c>
      <c r="C78" s="31" t="s">
        <v>153</v>
      </c>
      <c r="D78" s="32" t="s">
        <v>8</v>
      </c>
      <c r="E78" s="47">
        <v>10</v>
      </c>
      <c r="F78" s="47">
        <v>11</v>
      </c>
      <c r="G78" s="47">
        <v>15</v>
      </c>
      <c r="H78" s="47">
        <v>20</v>
      </c>
      <c r="I78" s="47">
        <v>8</v>
      </c>
      <c r="J78" s="47">
        <v>14</v>
      </c>
      <c r="K78" s="47">
        <v>2</v>
      </c>
      <c r="L78" s="48">
        <f t="shared" si="0"/>
        <v>80</v>
      </c>
      <c r="M78" s="28" t="s">
        <v>17</v>
      </c>
    </row>
    <row r="79" spans="1:14" ht="15" x14ac:dyDescent="0.25">
      <c r="A79" s="30">
        <v>10</v>
      </c>
      <c r="B79" s="30">
        <v>13521058</v>
      </c>
      <c r="C79" s="31" t="s">
        <v>197</v>
      </c>
      <c r="D79" s="32" t="s">
        <v>8</v>
      </c>
      <c r="E79" s="47">
        <v>8</v>
      </c>
      <c r="F79" s="47">
        <v>6</v>
      </c>
      <c r="G79" s="47">
        <v>15</v>
      </c>
      <c r="H79" s="47">
        <v>12</v>
      </c>
      <c r="I79" s="47">
        <v>8</v>
      </c>
      <c r="J79" s="47">
        <v>13</v>
      </c>
      <c r="K79" s="47">
        <v>2</v>
      </c>
      <c r="L79" s="48">
        <f t="shared" si="0"/>
        <v>64</v>
      </c>
      <c r="M79" s="28" t="s">
        <v>15</v>
      </c>
    </row>
    <row r="80" spans="1:14" ht="15" x14ac:dyDescent="0.25">
      <c r="A80" s="30">
        <v>11</v>
      </c>
      <c r="B80" s="30">
        <v>13521060</v>
      </c>
      <c r="C80" s="31" t="s">
        <v>118</v>
      </c>
      <c r="D80" s="32" t="s">
        <v>8</v>
      </c>
      <c r="E80" s="47">
        <v>10</v>
      </c>
      <c r="F80" s="47">
        <v>16.5</v>
      </c>
      <c r="G80" s="47">
        <v>5</v>
      </c>
      <c r="H80" s="47">
        <v>20</v>
      </c>
      <c r="I80" s="47">
        <v>8</v>
      </c>
      <c r="J80" s="47">
        <v>14</v>
      </c>
      <c r="K80" s="47">
        <v>2</v>
      </c>
      <c r="L80" s="48">
        <f t="shared" si="0"/>
        <v>75.5</v>
      </c>
      <c r="M80" s="28" t="s">
        <v>17</v>
      </c>
    </row>
    <row r="81" spans="1:13" ht="15" x14ac:dyDescent="0.25">
      <c r="A81" s="30">
        <v>12</v>
      </c>
      <c r="B81" s="30">
        <v>13521062</v>
      </c>
      <c r="C81" s="31" t="s">
        <v>60</v>
      </c>
      <c r="D81" s="32" t="s">
        <v>8</v>
      </c>
      <c r="E81" s="47">
        <v>6</v>
      </c>
      <c r="F81" s="47">
        <v>16.5</v>
      </c>
      <c r="G81" s="47">
        <v>15</v>
      </c>
      <c r="H81" s="47">
        <v>20</v>
      </c>
      <c r="I81" s="47">
        <v>18</v>
      </c>
      <c r="J81" s="47">
        <v>13</v>
      </c>
      <c r="K81" s="47">
        <v>2</v>
      </c>
      <c r="L81" s="48">
        <f t="shared" si="0"/>
        <v>90.5</v>
      </c>
      <c r="M81" s="28" t="s">
        <v>18</v>
      </c>
    </row>
    <row r="82" spans="1:13" ht="15" x14ac:dyDescent="0.25">
      <c r="A82" s="30">
        <v>13</v>
      </c>
      <c r="B82" s="30">
        <v>13521064</v>
      </c>
      <c r="C82" s="31" t="s">
        <v>123</v>
      </c>
      <c r="D82" s="32" t="s">
        <v>8</v>
      </c>
      <c r="E82" s="47">
        <v>10</v>
      </c>
      <c r="F82" s="47">
        <v>16.5</v>
      </c>
      <c r="G82" s="47">
        <v>15</v>
      </c>
      <c r="H82" s="47">
        <v>20</v>
      </c>
      <c r="I82" s="47">
        <v>10</v>
      </c>
      <c r="J82" s="47">
        <v>14</v>
      </c>
      <c r="K82" s="47">
        <v>2</v>
      </c>
      <c r="L82" s="48">
        <f t="shared" si="0"/>
        <v>87.5</v>
      </c>
      <c r="M82" s="28" t="s">
        <v>18</v>
      </c>
    </row>
    <row r="83" spans="1:13" ht="15" x14ac:dyDescent="0.25">
      <c r="A83" s="30">
        <v>14</v>
      </c>
      <c r="B83" s="30">
        <v>13521066</v>
      </c>
      <c r="C83" s="31" t="s">
        <v>79</v>
      </c>
      <c r="D83" s="32" t="s">
        <v>8</v>
      </c>
      <c r="E83" s="47">
        <v>5</v>
      </c>
      <c r="F83" s="47">
        <v>20</v>
      </c>
      <c r="G83" s="47">
        <v>15</v>
      </c>
      <c r="H83" s="47">
        <v>20</v>
      </c>
      <c r="I83" s="47">
        <v>9</v>
      </c>
      <c r="J83" s="47">
        <v>14</v>
      </c>
      <c r="K83" s="47">
        <v>2</v>
      </c>
      <c r="L83" s="48">
        <f t="shared" si="0"/>
        <v>85</v>
      </c>
      <c r="M83" s="28" t="s">
        <v>18</v>
      </c>
    </row>
    <row r="84" spans="1:13" ht="15" x14ac:dyDescent="0.25">
      <c r="A84" s="30">
        <v>15</v>
      </c>
      <c r="B84" s="30">
        <v>13521068</v>
      </c>
      <c r="C84" s="31" t="s">
        <v>185</v>
      </c>
      <c r="D84" s="32" t="s">
        <v>8</v>
      </c>
      <c r="E84" s="47">
        <v>10</v>
      </c>
      <c r="F84" s="47">
        <v>11.5</v>
      </c>
      <c r="G84" s="47">
        <v>15</v>
      </c>
      <c r="H84" s="47">
        <v>20</v>
      </c>
      <c r="I84" s="47">
        <v>10</v>
      </c>
      <c r="J84" s="47">
        <v>8</v>
      </c>
      <c r="K84" s="47">
        <v>2</v>
      </c>
      <c r="L84" s="48">
        <f t="shared" si="0"/>
        <v>76.5</v>
      </c>
      <c r="M84" s="28" t="s">
        <v>17</v>
      </c>
    </row>
    <row r="85" spans="1:13" ht="15" x14ac:dyDescent="0.25">
      <c r="A85" s="30">
        <v>16</v>
      </c>
      <c r="B85" s="30">
        <v>13521070</v>
      </c>
      <c r="C85" s="31" t="s">
        <v>180</v>
      </c>
      <c r="D85" s="32" t="s">
        <v>8</v>
      </c>
      <c r="E85" s="47">
        <v>9.5</v>
      </c>
      <c r="F85" s="47">
        <v>17</v>
      </c>
      <c r="G85" s="47">
        <v>15</v>
      </c>
      <c r="H85" s="47">
        <v>16</v>
      </c>
      <c r="I85" s="47">
        <v>9</v>
      </c>
      <c r="J85" s="47">
        <v>10</v>
      </c>
      <c r="K85" s="47">
        <v>2</v>
      </c>
      <c r="L85" s="48">
        <f t="shared" si="0"/>
        <v>78.5</v>
      </c>
      <c r="M85" s="28" t="s">
        <v>18</v>
      </c>
    </row>
    <row r="86" spans="1:13" ht="15" x14ac:dyDescent="0.25">
      <c r="A86" s="30">
        <v>17</v>
      </c>
      <c r="B86" s="30">
        <v>13521072</v>
      </c>
      <c r="C86" s="31" t="s">
        <v>194</v>
      </c>
      <c r="D86" s="32" t="s">
        <v>8</v>
      </c>
      <c r="E86" s="47">
        <v>9</v>
      </c>
      <c r="F86" s="47">
        <v>12.5</v>
      </c>
      <c r="G86" s="47">
        <v>15</v>
      </c>
      <c r="H86" s="47">
        <v>8</v>
      </c>
      <c r="I86" s="47">
        <v>10</v>
      </c>
      <c r="J86" s="47">
        <v>17</v>
      </c>
      <c r="K86" s="47">
        <v>2</v>
      </c>
      <c r="L86" s="48">
        <f t="shared" si="0"/>
        <v>73.5</v>
      </c>
      <c r="M86" s="28" t="s">
        <v>17</v>
      </c>
    </row>
    <row r="87" spans="1:13" ht="15" x14ac:dyDescent="0.25">
      <c r="A87" s="30">
        <v>18</v>
      </c>
      <c r="B87" s="30">
        <v>13521074</v>
      </c>
      <c r="C87" s="31" t="s">
        <v>107</v>
      </c>
      <c r="D87" s="32" t="s">
        <v>8</v>
      </c>
      <c r="E87" s="47">
        <v>10</v>
      </c>
      <c r="F87" s="47">
        <v>20</v>
      </c>
      <c r="G87" s="47">
        <v>7.5</v>
      </c>
      <c r="H87" s="47">
        <v>20</v>
      </c>
      <c r="I87" s="47">
        <v>10</v>
      </c>
      <c r="J87" s="47">
        <v>13</v>
      </c>
      <c r="K87" s="47">
        <v>2</v>
      </c>
      <c r="L87" s="48">
        <f t="shared" si="0"/>
        <v>82.5</v>
      </c>
      <c r="M87" s="28" t="s">
        <v>18</v>
      </c>
    </row>
    <row r="88" spans="1:13" ht="15" x14ac:dyDescent="0.25">
      <c r="A88" s="30">
        <v>19</v>
      </c>
      <c r="B88" s="30">
        <v>13521076</v>
      </c>
      <c r="C88" s="31" t="s">
        <v>176</v>
      </c>
      <c r="D88" s="32" t="s">
        <v>8</v>
      </c>
      <c r="E88" s="47">
        <v>10</v>
      </c>
      <c r="F88" s="47">
        <v>14</v>
      </c>
      <c r="G88" s="47">
        <v>15</v>
      </c>
      <c r="H88" s="47">
        <v>16</v>
      </c>
      <c r="I88" s="47">
        <v>15</v>
      </c>
      <c r="J88" s="47">
        <v>12</v>
      </c>
      <c r="K88" s="47">
        <v>2</v>
      </c>
      <c r="L88" s="48">
        <f t="shared" si="0"/>
        <v>84</v>
      </c>
      <c r="M88" s="28" t="s">
        <v>18</v>
      </c>
    </row>
    <row r="89" spans="1:13" ht="15" x14ac:dyDescent="0.25">
      <c r="A89" s="30">
        <v>20</v>
      </c>
      <c r="B89" s="30">
        <v>13521078</v>
      </c>
      <c r="C89" s="31" t="s">
        <v>56</v>
      </c>
      <c r="D89" s="32" t="s">
        <v>8</v>
      </c>
      <c r="E89" s="47">
        <v>10</v>
      </c>
      <c r="F89" s="47">
        <v>19.5</v>
      </c>
      <c r="G89" s="47">
        <v>15</v>
      </c>
      <c r="H89" s="47">
        <v>16</v>
      </c>
      <c r="I89" s="47">
        <v>18</v>
      </c>
      <c r="J89" s="47">
        <v>17</v>
      </c>
      <c r="K89" s="47">
        <v>2</v>
      </c>
      <c r="L89" s="48">
        <f t="shared" si="0"/>
        <v>97.5</v>
      </c>
      <c r="M89" s="28" t="s">
        <v>18</v>
      </c>
    </row>
    <row r="90" spans="1:13" ht="15" x14ac:dyDescent="0.25">
      <c r="A90" s="30">
        <v>21</v>
      </c>
      <c r="B90" s="30">
        <v>13521080</v>
      </c>
      <c r="C90" s="31" t="s">
        <v>92</v>
      </c>
      <c r="D90" s="32" t="s">
        <v>8</v>
      </c>
      <c r="E90" s="47">
        <v>10</v>
      </c>
      <c r="F90" s="47">
        <v>15.5</v>
      </c>
      <c r="G90" s="47">
        <v>15</v>
      </c>
      <c r="H90" s="47">
        <v>20</v>
      </c>
      <c r="I90" s="47">
        <v>14</v>
      </c>
      <c r="J90" s="47">
        <v>17</v>
      </c>
      <c r="K90" s="47">
        <v>2</v>
      </c>
      <c r="L90" s="48">
        <f t="shared" si="0"/>
        <v>93.5</v>
      </c>
      <c r="M90" s="28" t="s">
        <v>17</v>
      </c>
    </row>
    <row r="91" spans="1:13" ht="15" x14ac:dyDescent="0.25">
      <c r="A91" s="30">
        <v>22</v>
      </c>
      <c r="B91" s="30">
        <v>13521082</v>
      </c>
      <c r="C91" s="31" t="s">
        <v>65</v>
      </c>
      <c r="D91" s="32" t="s">
        <v>8</v>
      </c>
      <c r="E91" s="47">
        <v>10</v>
      </c>
      <c r="F91" s="47">
        <v>17.5</v>
      </c>
      <c r="G91" s="47">
        <v>15</v>
      </c>
      <c r="H91" s="47">
        <v>20</v>
      </c>
      <c r="I91" s="47">
        <v>9</v>
      </c>
      <c r="J91" s="47">
        <v>14</v>
      </c>
      <c r="K91" s="47">
        <v>2</v>
      </c>
      <c r="L91" s="48">
        <f t="shared" si="0"/>
        <v>87.5</v>
      </c>
      <c r="M91" s="28" t="s">
        <v>18</v>
      </c>
    </row>
    <row r="92" spans="1:13" ht="15" x14ac:dyDescent="0.25">
      <c r="A92" s="30">
        <v>23</v>
      </c>
      <c r="B92" s="30">
        <v>13521084</v>
      </c>
      <c r="C92" s="31" t="s">
        <v>167</v>
      </c>
      <c r="D92" s="32" t="s">
        <v>8</v>
      </c>
      <c r="E92" s="47">
        <v>10</v>
      </c>
      <c r="F92" s="47">
        <v>13.5</v>
      </c>
      <c r="G92" s="47">
        <v>10</v>
      </c>
      <c r="H92" s="47">
        <v>12</v>
      </c>
      <c r="I92" s="47">
        <v>8</v>
      </c>
      <c r="J92" s="47">
        <v>13</v>
      </c>
      <c r="K92" s="47">
        <v>2</v>
      </c>
      <c r="L92" s="48">
        <f t="shared" si="0"/>
        <v>68.5</v>
      </c>
      <c r="M92" s="28" t="s">
        <v>17</v>
      </c>
    </row>
    <row r="93" spans="1:13" ht="15" x14ac:dyDescent="0.25">
      <c r="A93" s="30">
        <v>24</v>
      </c>
      <c r="B93" s="30">
        <v>13521086</v>
      </c>
      <c r="C93" s="31" t="s">
        <v>193</v>
      </c>
      <c r="D93" s="32" t="s">
        <v>8</v>
      </c>
      <c r="E93" s="47">
        <v>10</v>
      </c>
      <c r="F93" s="47">
        <v>20</v>
      </c>
      <c r="G93" s="47">
        <v>15</v>
      </c>
      <c r="H93" s="47">
        <v>4</v>
      </c>
      <c r="I93" s="47">
        <v>10</v>
      </c>
      <c r="J93" s="47">
        <v>12</v>
      </c>
      <c r="K93" s="47">
        <v>2</v>
      </c>
      <c r="L93" s="48">
        <f t="shared" si="0"/>
        <v>73</v>
      </c>
      <c r="M93" s="28" t="s">
        <v>18</v>
      </c>
    </row>
    <row r="94" spans="1:13" ht="15" x14ac:dyDescent="0.25">
      <c r="A94" s="30">
        <v>25</v>
      </c>
      <c r="B94" s="30">
        <v>13521088</v>
      </c>
      <c r="C94" s="31" t="s">
        <v>115</v>
      </c>
      <c r="D94" s="32" t="s">
        <v>8</v>
      </c>
      <c r="E94" s="47">
        <v>10</v>
      </c>
      <c r="F94" s="47">
        <v>17</v>
      </c>
      <c r="G94" s="47">
        <v>5</v>
      </c>
      <c r="H94" s="47">
        <v>20</v>
      </c>
      <c r="I94" s="47">
        <v>18</v>
      </c>
      <c r="J94" s="47">
        <v>14</v>
      </c>
      <c r="K94" s="47">
        <v>2</v>
      </c>
      <c r="L94" s="48">
        <f t="shared" si="0"/>
        <v>86</v>
      </c>
      <c r="M94" s="28" t="s">
        <v>18</v>
      </c>
    </row>
    <row r="95" spans="1:13" ht="15" x14ac:dyDescent="0.25">
      <c r="A95" s="30">
        <v>26</v>
      </c>
      <c r="B95" s="30">
        <v>13521090</v>
      </c>
      <c r="C95" s="31" t="s">
        <v>106</v>
      </c>
      <c r="D95" s="32" t="s">
        <v>8</v>
      </c>
      <c r="E95" s="47">
        <v>10</v>
      </c>
      <c r="F95" s="47">
        <v>16</v>
      </c>
      <c r="G95" s="47">
        <v>15</v>
      </c>
      <c r="H95" s="47">
        <v>20</v>
      </c>
      <c r="I95" s="47">
        <v>18</v>
      </c>
      <c r="J95" s="47">
        <v>14</v>
      </c>
      <c r="K95" s="47">
        <v>2</v>
      </c>
      <c r="L95" s="48">
        <f t="shared" si="0"/>
        <v>95</v>
      </c>
      <c r="M95" s="28" t="s">
        <v>18</v>
      </c>
    </row>
    <row r="96" spans="1:13" ht="15" x14ac:dyDescent="0.25">
      <c r="A96" s="30">
        <v>27</v>
      </c>
      <c r="B96" s="30">
        <v>13521092</v>
      </c>
      <c r="C96" s="31" t="s">
        <v>93</v>
      </c>
      <c r="D96" s="32" t="s">
        <v>8</v>
      </c>
      <c r="E96" s="47">
        <v>10</v>
      </c>
      <c r="F96" s="47">
        <v>18.5</v>
      </c>
      <c r="G96" s="47">
        <v>15</v>
      </c>
      <c r="H96" s="47">
        <v>20</v>
      </c>
      <c r="I96" s="47">
        <v>8</v>
      </c>
      <c r="J96" s="47">
        <v>14</v>
      </c>
      <c r="K96" s="47">
        <v>2</v>
      </c>
      <c r="L96" s="48">
        <f t="shared" si="0"/>
        <v>87.5</v>
      </c>
      <c r="M96" s="28" t="s">
        <v>18</v>
      </c>
    </row>
    <row r="97" spans="1:13" ht="15" x14ac:dyDescent="0.25">
      <c r="A97" s="30">
        <v>28</v>
      </c>
      <c r="B97" s="30">
        <v>13521094</v>
      </c>
      <c r="C97" s="31" t="s">
        <v>54</v>
      </c>
      <c r="D97" s="32" t="s">
        <v>8</v>
      </c>
      <c r="E97" s="47">
        <v>10</v>
      </c>
      <c r="F97" s="47">
        <v>20</v>
      </c>
      <c r="G97" s="47">
        <v>15</v>
      </c>
      <c r="H97" s="47">
        <v>16</v>
      </c>
      <c r="I97" s="47">
        <v>18</v>
      </c>
      <c r="J97" s="47">
        <v>17</v>
      </c>
      <c r="K97" s="47">
        <v>2</v>
      </c>
      <c r="L97" s="48">
        <f t="shared" si="0"/>
        <v>98</v>
      </c>
      <c r="M97" s="28" t="s">
        <v>18</v>
      </c>
    </row>
    <row r="98" spans="1:13" ht="15" x14ac:dyDescent="0.25">
      <c r="A98" s="30">
        <v>29</v>
      </c>
      <c r="B98" s="30">
        <v>13521096</v>
      </c>
      <c r="C98" s="31" t="s">
        <v>112</v>
      </c>
      <c r="D98" s="32" t="s">
        <v>8</v>
      </c>
      <c r="E98" s="47">
        <v>9.5</v>
      </c>
      <c r="F98" s="47">
        <v>18.5</v>
      </c>
      <c r="G98" s="47">
        <v>7.5</v>
      </c>
      <c r="H98" s="47">
        <v>16</v>
      </c>
      <c r="I98" s="47">
        <v>5</v>
      </c>
      <c r="J98" s="47">
        <v>14</v>
      </c>
      <c r="K98" s="47">
        <v>2</v>
      </c>
      <c r="L98" s="48">
        <f t="shared" si="0"/>
        <v>72.5</v>
      </c>
      <c r="M98" s="28" t="s">
        <v>18</v>
      </c>
    </row>
    <row r="99" spans="1:13" ht="15" x14ac:dyDescent="0.25">
      <c r="A99" s="30">
        <v>30</v>
      </c>
      <c r="B99" s="30">
        <v>13521098</v>
      </c>
      <c r="C99" s="31" t="s">
        <v>203</v>
      </c>
      <c r="D99" s="32" t="s">
        <v>8</v>
      </c>
      <c r="E99" s="47">
        <v>10</v>
      </c>
      <c r="F99" s="47">
        <v>13</v>
      </c>
      <c r="G99" s="47">
        <v>3</v>
      </c>
      <c r="H99" s="47">
        <v>8</v>
      </c>
      <c r="I99" s="47">
        <v>12</v>
      </c>
      <c r="J99" s="47">
        <v>14</v>
      </c>
      <c r="K99" s="47">
        <v>2</v>
      </c>
      <c r="L99" s="48">
        <f t="shared" si="0"/>
        <v>62</v>
      </c>
      <c r="M99" s="28" t="s">
        <v>15</v>
      </c>
    </row>
    <row r="100" spans="1:13" ht="15" x14ac:dyDescent="0.25">
      <c r="A100" s="30">
        <v>31</v>
      </c>
      <c r="B100" s="30">
        <v>13521100</v>
      </c>
      <c r="C100" s="31" t="s">
        <v>63</v>
      </c>
      <c r="D100" s="32" t="s">
        <v>8</v>
      </c>
      <c r="E100" s="47">
        <v>10</v>
      </c>
      <c r="F100" s="47">
        <v>20</v>
      </c>
      <c r="G100" s="47">
        <v>15</v>
      </c>
      <c r="H100" s="47">
        <v>20</v>
      </c>
      <c r="I100" s="47">
        <v>14</v>
      </c>
      <c r="J100" s="47">
        <v>11</v>
      </c>
      <c r="K100" s="47">
        <v>2</v>
      </c>
      <c r="L100" s="48">
        <f t="shared" si="0"/>
        <v>92</v>
      </c>
      <c r="M100" s="28" t="s">
        <v>18</v>
      </c>
    </row>
    <row r="101" spans="1:13" ht="15" x14ac:dyDescent="0.25">
      <c r="A101" s="30">
        <v>32</v>
      </c>
      <c r="B101" s="30">
        <v>13521102</v>
      </c>
      <c r="C101" s="31" t="s">
        <v>91</v>
      </c>
      <c r="D101" s="32" t="s">
        <v>8</v>
      </c>
      <c r="E101" s="47">
        <v>10</v>
      </c>
      <c r="F101" s="47">
        <v>16</v>
      </c>
      <c r="G101" s="47">
        <v>15</v>
      </c>
      <c r="H101" s="47">
        <v>16</v>
      </c>
      <c r="I101" s="47">
        <v>14</v>
      </c>
      <c r="J101" s="47">
        <v>14</v>
      </c>
      <c r="K101" s="47">
        <v>2</v>
      </c>
      <c r="L101" s="48">
        <f t="shared" si="0"/>
        <v>87</v>
      </c>
      <c r="M101" s="28" t="s">
        <v>18</v>
      </c>
    </row>
    <row r="102" spans="1:13" ht="15" x14ac:dyDescent="0.25">
      <c r="A102" s="30">
        <v>33</v>
      </c>
      <c r="B102" s="30">
        <v>13521104</v>
      </c>
      <c r="C102" s="31" t="s">
        <v>181</v>
      </c>
      <c r="D102" s="32" t="s">
        <v>8</v>
      </c>
      <c r="E102" s="47">
        <v>9.5</v>
      </c>
      <c r="F102" s="47">
        <v>16</v>
      </c>
      <c r="G102" s="47">
        <v>15</v>
      </c>
      <c r="H102" s="47">
        <v>12</v>
      </c>
      <c r="I102" s="47">
        <v>12</v>
      </c>
      <c r="J102" s="47">
        <v>14</v>
      </c>
      <c r="K102" s="47">
        <v>2</v>
      </c>
      <c r="L102" s="48">
        <f t="shared" si="0"/>
        <v>80.5</v>
      </c>
      <c r="M102" s="28" t="s">
        <v>14</v>
      </c>
    </row>
    <row r="103" spans="1:13" ht="15" x14ac:dyDescent="0.25">
      <c r="A103" s="30">
        <v>34</v>
      </c>
      <c r="B103" s="30">
        <v>13521106</v>
      </c>
      <c r="C103" s="31" t="s">
        <v>110</v>
      </c>
      <c r="D103" s="32" t="s">
        <v>8</v>
      </c>
      <c r="E103" s="47">
        <v>4</v>
      </c>
      <c r="F103" s="47">
        <v>14.5</v>
      </c>
      <c r="G103" s="47">
        <v>15</v>
      </c>
      <c r="H103" s="47">
        <v>16</v>
      </c>
      <c r="I103" s="47">
        <v>8</v>
      </c>
      <c r="J103" s="47">
        <v>13</v>
      </c>
      <c r="K103" s="47">
        <v>2</v>
      </c>
      <c r="L103" s="48">
        <f t="shared" si="0"/>
        <v>72.5</v>
      </c>
      <c r="M103" s="28" t="s">
        <v>18</v>
      </c>
    </row>
    <row r="104" spans="1:13" ht="15" x14ac:dyDescent="0.25">
      <c r="A104" s="30">
        <v>35</v>
      </c>
      <c r="B104" s="30">
        <v>13521108</v>
      </c>
      <c r="C104" s="31" t="s">
        <v>55</v>
      </c>
      <c r="D104" s="32" t="s">
        <v>8</v>
      </c>
      <c r="E104" s="47">
        <v>10</v>
      </c>
      <c r="F104" s="47">
        <v>20</v>
      </c>
      <c r="G104" s="47">
        <v>15</v>
      </c>
      <c r="H104" s="47">
        <v>16</v>
      </c>
      <c r="I104" s="47">
        <v>14</v>
      </c>
      <c r="J104" s="47">
        <v>14</v>
      </c>
      <c r="K104" s="47">
        <v>2</v>
      </c>
      <c r="L104" s="48">
        <f t="shared" si="0"/>
        <v>91</v>
      </c>
      <c r="M104" s="28" t="s">
        <v>18</v>
      </c>
    </row>
    <row r="105" spans="1:13" ht="15" x14ac:dyDescent="0.25">
      <c r="A105" s="30">
        <v>36</v>
      </c>
      <c r="B105" s="30">
        <v>13521110</v>
      </c>
      <c r="C105" s="31" t="s">
        <v>67</v>
      </c>
      <c r="D105" s="32" t="s">
        <v>8</v>
      </c>
      <c r="E105" s="47">
        <v>10</v>
      </c>
      <c r="F105" s="47">
        <v>17.5</v>
      </c>
      <c r="G105" s="47">
        <v>15</v>
      </c>
      <c r="H105" s="47">
        <v>20</v>
      </c>
      <c r="I105" s="47">
        <v>10</v>
      </c>
      <c r="J105" s="47">
        <v>14</v>
      </c>
      <c r="K105" s="47">
        <v>2</v>
      </c>
      <c r="L105" s="48">
        <f t="shared" si="0"/>
        <v>88.5</v>
      </c>
      <c r="M105" s="28" t="s">
        <v>17</v>
      </c>
    </row>
    <row r="106" spans="1:13" ht="15" x14ac:dyDescent="0.25">
      <c r="A106" s="30">
        <v>37</v>
      </c>
      <c r="B106" s="30">
        <v>13521112</v>
      </c>
      <c r="C106" s="31" t="s">
        <v>200</v>
      </c>
      <c r="D106" s="32" t="s">
        <v>8</v>
      </c>
      <c r="E106" s="47">
        <v>10</v>
      </c>
      <c r="F106" s="47">
        <v>16.5</v>
      </c>
      <c r="G106" s="47">
        <v>0</v>
      </c>
      <c r="H106" s="47">
        <v>12</v>
      </c>
      <c r="I106" s="47">
        <v>10</v>
      </c>
      <c r="J106" s="47">
        <v>13</v>
      </c>
      <c r="K106" s="47">
        <v>2</v>
      </c>
      <c r="L106" s="48">
        <f t="shared" si="0"/>
        <v>63.5</v>
      </c>
      <c r="M106" s="28" t="s">
        <v>13</v>
      </c>
    </row>
    <row r="107" spans="1:13" ht="15" x14ac:dyDescent="0.25">
      <c r="A107" s="30">
        <v>38</v>
      </c>
      <c r="B107" s="30">
        <v>13521114</v>
      </c>
      <c r="C107" s="31" t="s">
        <v>76</v>
      </c>
      <c r="D107" s="32" t="s">
        <v>8</v>
      </c>
      <c r="E107" s="47">
        <v>10</v>
      </c>
      <c r="F107" s="47">
        <v>15</v>
      </c>
      <c r="G107" s="47">
        <v>15</v>
      </c>
      <c r="H107" s="47">
        <v>20</v>
      </c>
      <c r="I107" s="47">
        <v>10</v>
      </c>
      <c r="J107" s="47">
        <v>15</v>
      </c>
      <c r="K107" s="47">
        <v>2</v>
      </c>
      <c r="L107" s="48">
        <f t="shared" si="0"/>
        <v>87</v>
      </c>
      <c r="M107" s="28" t="s">
        <v>17</v>
      </c>
    </row>
    <row r="108" spans="1:13" ht="15" x14ac:dyDescent="0.25">
      <c r="A108" s="30">
        <v>39</v>
      </c>
      <c r="B108" s="30">
        <v>13521116</v>
      </c>
      <c r="C108" s="31" t="s">
        <v>90</v>
      </c>
      <c r="D108" s="32" t="s">
        <v>8</v>
      </c>
      <c r="E108" s="47">
        <v>7.5</v>
      </c>
      <c r="F108" s="47">
        <v>16.5</v>
      </c>
      <c r="G108" s="47">
        <v>15</v>
      </c>
      <c r="H108" s="47">
        <v>16</v>
      </c>
      <c r="I108" s="47">
        <v>12</v>
      </c>
      <c r="J108" s="47">
        <v>14</v>
      </c>
      <c r="K108" s="47">
        <v>2</v>
      </c>
      <c r="L108" s="48">
        <f t="shared" si="0"/>
        <v>83</v>
      </c>
      <c r="M108" s="28" t="s">
        <v>17</v>
      </c>
    </row>
    <row r="109" spans="1:13" ht="15" x14ac:dyDescent="0.25">
      <c r="A109" s="30">
        <v>40</v>
      </c>
      <c r="B109" s="30">
        <v>13521118</v>
      </c>
      <c r="C109" s="31" t="s">
        <v>157</v>
      </c>
      <c r="D109" s="32" t="s">
        <v>8</v>
      </c>
      <c r="E109" s="47">
        <v>10</v>
      </c>
      <c r="F109" s="47">
        <v>20</v>
      </c>
      <c r="G109" s="47">
        <v>15</v>
      </c>
      <c r="H109" s="47">
        <v>20</v>
      </c>
      <c r="I109" s="47">
        <v>18</v>
      </c>
      <c r="J109" s="47">
        <v>14</v>
      </c>
      <c r="K109" s="47">
        <v>2</v>
      </c>
      <c r="L109" s="48">
        <f t="shared" si="0"/>
        <v>99</v>
      </c>
      <c r="M109" s="28" t="s">
        <v>15</v>
      </c>
    </row>
    <row r="110" spans="1:13" ht="15" x14ac:dyDescent="0.25">
      <c r="A110" s="30">
        <v>41</v>
      </c>
      <c r="B110" s="30">
        <v>13521120</v>
      </c>
      <c r="C110" s="31" t="s">
        <v>129</v>
      </c>
      <c r="D110" s="32" t="s">
        <v>8</v>
      </c>
      <c r="E110" s="47">
        <v>9</v>
      </c>
      <c r="F110" s="47">
        <v>16.5</v>
      </c>
      <c r="G110" s="47">
        <v>15</v>
      </c>
      <c r="H110" s="47">
        <v>16</v>
      </c>
      <c r="I110" s="47">
        <v>10</v>
      </c>
      <c r="J110" s="47">
        <v>14</v>
      </c>
      <c r="K110" s="47">
        <v>2</v>
      </c>
      <c r="L110" s="48">
        <f t="shared" si="0"/>
        <v>82.5</v>
      </c>
      <c r="M110" s="28" t="s">
        <v>17</v>
      </c>
    </row>
    <row r="111" spans="1:13" ht="15" x14ac:dyDescent="0.25">
      <c r="A111" s="30">
        <v>42</v>
      </c>
      <c r="B111" s="30">
        <v>13521122</v>
      </c>
      <c r="C111" s="31" t="s">
        <v>100</v>
      </c>
      <c r="D111" s="32" t="s">
        <v>8</v>
      </c>
      <c r="E111" s="47">
        <v>10</v>
      </c>
      <c r="F111" s="47">
        <v>18.5</v>
      </c>
      <c r="G111" s="47">
        <v>15</v>
      </c>
      <c r="H111" s="47">
        <v>16</v>
      </c>
      <c r="I111" s="47">
        <v>9</v>
      </c>
      <c r="J111" s="47">
        <v>14</v>
      </c>
      <c r="K111" s="47">
        <v>2</v>
      </c>
      <c r="L111" s="48">
        <f t="shared" si="0"/>
        <v>84.5</v>
      </c>
      <c r="M111" s="28" t="s">
        <v>18</v>
      </c>
    </row>
    <row r="112" spans="1:13" ht="15" x14ac:dyDescent="0.25">
      <c r="A112" s="30">
        <v>43</v>
      </c>
      <c r="B112" s="30">
        <v>13521124</v>
      </c>
      <c r="C112" s="31" t="s">
        <v>57</v>
      </c>
      <c r="D112" s="32" t="s">
        <v>8</v>
      </c>
      <c r="E112" s="47">
        <v>10</v>
      </c>
      <c r="F112" s="47">
        <v>13.5</v>
      </c>
      <c r="G112" s="47">
        <v>15</v>
      </c>
      <c r="H112" s="47">
        <v>20</v>
      </c>
      <c r="I112" s="47">
        <v>14</v>
      </c>
      <c r="J112" s="47">
        <v>17</v>
      </c>
      <c r="K112" s="47">
        <v>2</v>
      </c>
      <c r="L112" s="48">
        <f t="shared" si="0"/>
        <v>91.5</v>
      </c>
      <c r="M112" s="28" t="s">
        <v>18</v>
      </c>
    </row>
    <row r="113" spans="1:13" ht="15" x14ac:dyDescent="0.25">
      <c r="A113" s="30">
        <v>44</v>
      </c>
      <c r="B113" s="30">
        <v>13521128</v>
      </c>
      <c r="C113" s="31" t="s">
        <v>142</v>
      </c>
      <c r="D113" s="32" t="s">
        <v>8</v>
      </c>
      <c r="E113" s="47">
        <v>7</v>
      </c>
      <c r="F113" s="47">
        <v>18.5</v>
      </c>
      <c r="G113" s="47">
        <v>5</v>
      </c>
      <c r="H113" s="47">
        <v>20</v>
      </c>
      <c r="I113" s="47">
        <v>3</v>
      </c>
      <c r="J113" s="47">
        <v>9</v>
      </c>
      <c r="K113" s="47">
        <v>2</v>
      </c>
      <c r="L113" s="48">
        <f t="shared" si="0"/>
        <v>64.5</v>
      </c>
      <c r="M113" s="28" t="s">
        <v>14</v>
      </c>
    </row>
    <row r="114" spans="1:13" ht="15" x14ac:dyDescent="0.25">
      <c r="A114" s="30">
        <v>45</v>
      </c>
      <c r="B114" s="30">
        <v>13521130</v>
      </c>
      <c r="C114" s="31" t="s">
        <v>138</v>
      </c>
      <c r="D114" s="32" t="s">
        <v>8</v>
      </c>
      <c r="E114" s="47">
        <v>10</v>
      </c>
      <c r="F114" s="47">
        <v>18</v>
      </c>
      <c r="G114" s="47">
        <v>0</v>
      </c>
      <c r="H114" s="47">
        <v>20</v>
      </c>
      <c r="I114" s="47">
        <v>12</v>
      </c>
      <c r="J114" s="47">
        <v>12</v>
      </c>
      <c r="K114" s="47">
        <v>2</v>
      </c>
      <c r="L114" s="48">
        <f t="shared" si="0"/>
        <v>74</v>
      </c>
      <c r="M114" s="28" t="s">
        <v>15</v>
      </c>
    </row>
    <row r="115" spans="1:13" ht="15" x14ac:dyDescent="0.25">
      <c r="A115" s="30">
        <v>46</v>
      </c>
      <c r="B115" s="30">
        <v>13521132</v>
      </c>
      <c r="C115" s="31" t="s">
        <v>195</v>
      </c>
      <c r="D115" s="32" t="s">
        <v>8</v>
      </c>
      <c r="E115" s="47">
        <v>6</v>
      </c>
      <c r="F115" s="47">
        <v>9.5</v>
      </c>
      <c r="G115" s="47">
        <v>5</v>
      </c>
      <c r="H115" s="47">
        <v>8</v>
      </c>
      <c r="I115" s="47">
        <v>12</v>
      </c>
      <c r="J115" s="47">
        <v>10</v>
      </c>
      <c r="K115" s="47">
        <v>2</v>
      </c>
      <c r="L115" s="48">
        <f t="shared" si="0"/>
        <v>52.5</v>
      </c>
      <c r="M115" s="28" t="s">
        <v>15</v>
      </c>
    </row>
    <row r="116" spans="1:13" ht="15" x14ac:dyDescent="0.25">
      <c r="A116" s="30">
        <v>47</v>
      </c>
      <c r="B116" s="30">
        <v>13521134</v>
      </c>
      <c r="C116" s="31" t="s">
        <v>125</v>
      </c>
      <c r="D116" s="32" t="s">
        <v>8</v>
      </c>
      <c r="E116" s="47">
        <v>10</v>
      </c>
      <c r="F116" s="47">
        <v>15.5</v>
      </c>
      <c r="G116" s="47">
        <v>15</v>
      </c>
      <c r="H116" s="47">
        <v>16</v>
      </c>
      <c r="I116" s="47">
        <v>9</v>
      </c>
      <c r="J116" s="47">
        <v>10</v>
      </c>
      <c r="K116" s="47">
        <v>2</v>
      </c>
      <c r="L116" s="48">
        <f t="shared" si="0"/>
        <v>77.5</v>
      </c>
      <c r="M116" s="28" t="s">
        <v>17</v>
      </c>
    </row>
    <row r="117" spans="1:13" ht="15" x14ac:dyDescent="0.25">
      <c r="A117" s="30">
        <v>48</v>
      </c>
      <c r="B117" s="30">
        <v>13521136</v>
      </c>
      <c r="C117" s="31" t="s">
        <v>190</v>
      </c>
      <c r="D117" s="32" t="s">
        <v>8</v>
      </c>
      <c r="E117" s="47">
        <v>10</v>
      </c>
      <c r="F117" s="47">
        <v>13.5</v>
      </c>
      <c r="G117" s="47">
        <v>15</v>
      </c>
      <c r="H117" s="47">
        <v>12</v>
      </c>
      <c r="I117" s="47">
        <v>5</v>
      </c>
      <c r="J117" s="47">
        <v>10</v>
      </c>
      <c r="K117" s="47">
        <v>2</v>
      </c>
      <c r="L117" s="48">
        <f t="shared" si="0"/>
        <v>67.5</v>
      </c>
      <c r="M117" s="28" t="s">
        <v>17</v>
      </c>
    </row>
    <row r="118" spans="1:13" ht="15" x14ac:dyDescent="0.25">
      <c r="A118" s="30">
        <v>49</v>
      </c>
      <c r="B118" s="30">
        <v>13521138</v>
      </c>
      <c r="C118" s="31" t="s">
        <v>146</v>
      </c>
      <c r="D118" s="32" t="s">
        <v>8</v>
      </c>
      <c r="E118" s="47">
        <v>10</v>
      </c>
      <c r="F118" s="47">
        <v>19.5</v>
      </c>
      <c r="G118" s="47">
        <v>1</v>
      </c>
      <c r="H118" s="47">
        <v>16</v>
      </c>
      <c r="I118" s="47">
        <v>18</v>
      </c>
      <c r="J118" s="47">
        <v>14</v>
      </c>
      <c r="K118" s="47">
        <v>2</v>
      </c>
      <c r="L118" s="48">
        <f t="shared" si="0"/>
        <v>80.5</v>
      </c>
      <c r="M118" s="28" t="s">
        <v>17</v>
      </c>
    </row>
    <row r="119" spans="1:13" ht="15" x14ac:dyDescent="0.25">
      <c r="A119" s="30">
        <v>50</v>
      </c>
      <c r="B119" s="30">
        <v>13521140</v>
      </c>
      <c r="C119" s="31" t="s">
        <v>113</v>
      </c>
      <c r="D119" s="32" t="s">
        <v>8</v>
      </c>
      <c r="E119" s="47">
        <v>10</v>
      </c>
      <c r="F119" s="47">
        <v>19</v>
      </c>
      <c r="G119" s="47">
        <v>15</v>
      </c>
      <c r="H119" s="47">
        <v>20</v>
      </c>
      <c r="I119" s="47">
        <v>6</v>
      </c>
      <c r="J119" s="47">
        <v>14</v>
      </c>
      <c r="K119" s="47">
        <v>2</v>
      </c>
      <c r="L119" s="48">
        <f t="shared" si="0"/>
        <v>86</v>
      </c>
      <c r="M119" s="28" t="s">
        <v>17</v>
      </c>
    </row>
    <row r="120" spans="1:13" ht="15" x14ac:dyDescent="0.25">
      <c r="A120" s="30">
        <v>51</v>
      </c>
      <c r="B120" s="30">
        <v>13521142</v>
      </c>
      <c r="C120" s="31" t="s">
        <v>154</v>
      </c>
      <c r="D120" s="32" t="s">
        <v>8</v>
      </c>
      <c r="E120" s="47">
        <v>10</v>
      </c>
      <c r="F120" s="47">
        <v>12</v>
      </c>
      <c r="G120" s="47">
        <v>10</v>
      </c>
      <c r="H120" s="47">
        <v>8</v>
      </c>
      <c r="I120" s="47">
        <v>6</v>
      </c>
      <c r="J120" s="47">
        <v>7</v>
      </c>
      <c r="K120" s="47">
        <v>2</v>
      </c>
      <c r="L120" s="48">
        <f t="shared" si="0"/>
        <v>55</v>
      </c>
      <c r="M120" s="28" t="s">
        <v>18</v>
      </c>
    </row>
    <row r="121" spans="1:13" ht="15" x14ac:dyDescent="0.25">
      <c r="A121" s="30">
        <v>52</v>
      </c>
      <c r="B121" s="30">
        <v>13521144</v>
      </c>
      <c r="C121" s="31" t="s">
        <v>104</v>
      </c>
      <c r="D121" s="32" t="s">
        <v>8</v>
      </c>
      <c r="E121" s="47">
        <v>6</v>
      </c>
      <c r="F121" s="47">
        <v>20</v>
      </c>
      <c r="G121" s="47">
        <v>15</v>
      </c>
      <c r="H121" s="47">
        <v>16</v>
      </c>
      <c r="I121" s="47">
        <v>9</v>
      </c>
      <c r="J121" s="47">
        <v>9</v>
      </c>
      <c r="K121" s="47">
        <v>2</v>
      </c>
      <c r="L121" s="48">
        <f t="shared" si="0"/>
        <v>77</v>
      </c>
      <c r="M121" s="28" t="s">
        <v>18</v>
      </c>
    </row>
    <row r="122" spans="1:13" ht="15" x14ac:dyDescent="0.25">
      <c r="A122" s="30">
        <v>53</v>
      </c>
      <c r="B122" s="30">
        <v>13521146</v>
      </c>
      <c r="C122" s="31" t="s">
        <v>73</v>
      </c>
      <c r="D122" s="32" t="s">
        <v>8</v>
      </c>
      <c r="E122" s="47">
        <v>10</v>
      </c>
      <c r="F122" s="47">
        <v>18.5</v>
      </c>
      <c r="G122" s="47">
        <v>15</v>
      </c>
      <c r="H122" s="47">
        <v>20</v>
      </c>
      <c r="I122" s="47">
        <v>14</v>
      </c>
      <c r="J122" s="47">
        <v>14</v>
      </c>
      <c r="K122" s="47">
        <v>2</v>
      </c>
      <c r="L122" s="48">
        <f t="shared" si="0"/>
        <v>93.5</v>
      </c>
      <c r="M122" s="28" t="s">
        <v>18</v>
      </c>
    </row>
    <row r="123" spans="1:13" ht="15" x14ac:dyDescent="0.25">
      <c r="A123" s="30">
        <v>54</v>
      </c>
      <c r="B123" s="30">
        <v>13521148</v>
      </c>
      <c r="C123" s="31" t="s">
        <v>51</v>
      </c>
      <c r="D123" s="32" t="s">
        <v>8</v>
      </c>
      <c r="E123" s="47">
        <v>10</v>
      </c>
      <c r="F123" s="47">
        <v>16.5</v>
      </c>
      <c r="G123" s="47">
        <v>15</v>
      </c>
      <c r="H123" s="47">
        <v>20</v>
      </c>
      <c r="I123" s="47">
        <v>18</v>
      </c>
      <c r="J123" s="47">
        <v>17</v>
      </c>
      <c r="K123" s="47">
        <v>2</v>
      </c>
      <c r="L123" s="48">
        <f t="shared" si="0"/>
        <v>98.5</v>
      </c>
      <c r="M123" s="28" t="s">
        <v>18</v>
      </c>
    </row>
    <row r="124" spans="1:13" ht="15" x14ac:dyDescent="0.25">
      <c r="A124" s="30">
        <v>55</v>
      </c>
      <c r="B124" s="30">
        <v>13521150</v>
      </c>
      <c r="C124" s="31" t="s">
        <v>83</v>
      </c>
      <c r="D124" s="32" t="s">
        <v>8</v>
      </c>
      <c r="E124" s="47">
        <v>10</v>
      </c>
      <c r="F124" s="47">
        <v>19.5</v>
      </c>
      <c r="G124" s="47">
        <v>17</v>
      </c>
      <c r="H124" s="47">
        <v>16</v>
      </c>
      <c r="I124" s="47">
        <v>12</v>
      </c>
      <c r="J124" s="47">
        <v>14</v>
      </c>
      <c r="K124" s="47">
        <v>2</v>
      </c>
      <c r="L124" s="48">
        <f t="shared" si="0"/>
        <v>90.5</v>
      </c>
      <c r="M124" s="28" t="s">
        <v>17</v>
      </c>
    </row>
    <row r="125" spans="1:13" ht="15" x14ac:dyDescent="0.25">
      <c r="A125" s="30">
        <v>56</v>
      </c>
      <c r="B125" s="30">
        <v>13521152</v>
      </c>
      <c r="C125" s="31" t="s">
        <v>149</v>
      </c>
      <c r="D125" s="32" t="s">
        <v>8</v>
      </c>
      <c r="E125" s="47">
        <v>6</v>
      </c>
      <c r="F125" s="47">
        <v>16.5</v>
      </c>
      <c r="G125" s="47">
        <v>15</v>
      </c>
      <c r="H125" s="47">
        <v>16</v>
      </c>
      <c r="I125" s="47">
        <v>8</v>
      </c>
      <c r="J125" s="47">
        <v>14</v>
      </c>
      <c r="K125" s="47">
        <v>2</v>
      </c>
      <c r="L125" s="48">
        <f t="shared" si="0"/>
        <v>77.5</v>
      </c>
      <c r="M125" s="28" t="s">
        <v>18</v>
      </c>
    </row>
    <row r="126" spans="1:13" ht="15" x14ac:dyDescent="0.25">
      <c r="A126" s="30">
        <v>57</v>
      </c>
      <c r="B126" s="30">
        <v>13521156</v>
      </c>
      <c r="C126" s="31" t="s">
        <v>137</v>
      </c>
      <c r="D126" s="32" t="s">
        <v>8</v>
      </c>
      <c r="E126" s="47">
        <v>10</v>
      </c>
      <c r="F126" s="47">
        <v>16</v>
      </c>
      <c r="G126" s="47">
        <v>7.5</v>
      </c>
      <c r="H126" s="47">
        <v>20</v>
      </c>
      <c r="I126" s="47">
        <v>12</v>
      </c>
      <c r="J126" s="47">
        <v>13</v>
      </c>
      <c r="K126" s="47">
        <v>2</v>
      </c>
      <c r="L126" s="48">
        <f t="shared" si="0"/>
        <v>80.5</v>
      </c>
      <c r="M126" s="28" t="s">
        <v>17</v>
      </c>
    </row>
    <row r="127" spans="1:13" ht="15" x14ac:dyDescent="0.25">
      <c r="A127" s="30">
        <v>58</v>
      </c>
      <c r="B127" s="30">
        <v>13521158</v>
      </c>
      <c r="C127" s="31" t="s">
        <v>209</v>
      </c>
      <c r="D127" s="32" t="s">
        <v>8</v>
      </c>
      <c r="E127" s="47"/>
      <c r="F127" s="47"/>
      <c r="G127" s="47"/>
      <c r="H127" s="47"/>
      <c r="I127" s="47"/>
      <c r="J127" s="47"/>
      <c r="K127" s="47"/>
      <c r="L127" s="48">
        <f t="shared" si="0"/>
        <v>0</v>
      </c>
    </row>
    <row r="128" spans="1:13" ht="15" x14ac:dyDescent="0.25">
      <c r="A128" s="30">
        <v>59</v>
      </c>
      <c r="B128" s="30">
        <v>13521160</v>
      </c>
      <c r="C128" s="31" t="s">
        <v>119</v>
      </c>
      <c r="D128" s="32" t="s">
        <v>8</v>
      </c>
      <c r="E128" s="47">
        <v>10</v>
      </c>
      <c r="F128" s="47">
        <v>16</v>
      </c>
      <c r="G128" s="47">
        <v>7.5</v>
      </c>
      <c r="H128" s="47">
        <v>16</v>
      </c>
      <c r="I128" s="47">
        <v>10</v>
      </c>
      <c r="J128" s="47">
        <v>17</v>
      </c>
      <c r="K128" s="47">
        <v>2</v>
      </c>
      <c r="L128" s="48">
        <f t="shared" si="0"/>
        <v>78.5</v>
      </c>
      <c r="M128" s="28" t="s">
        <v>18</v>
      </c>
    </row>
    <row r="129" spans="1:14" ht="15" x14ac:dyDescent="0.25">
      <c r="A129" s="30">
        <v>60</v>
      </c>
      <c r="B129" s="30">
        <v>13521162</v>
      </c>
      <c r="C129" s="31" t="s">
        <v>52</v>
      </c>
      <c r="D129" s="32" t="s">
        <v>8</v>
      </c>
      <c r="E129" s="47">
        <v>10</v>
      </c>
      <c r="F129" s="47">
        <v>20</v>
      </c>
      <c r="G129" s="47">
        <v>15</v>
      </c>
      <c r="H129" s="47">
        <v>20</v>
      </c>
      <c r="I129" s="47">
        <v>14</v>
      </c>
      <c r="J129" s="47">
        <v>14</v>
      </c>
      <c r="K129" s="47">
        <v>2</v>
      </c>
      <c r="L129" s="48">
        <f t="shared" si="0"/>
        <v>95</v>
      </c>
      <c r="M129" s="28" t="s">
        <v>18</v>
      </c>
    </row>
    <row r="130" spans="1:14" ht="15" x14ac:dyDescent="0.25">
      <c r="A130" s="30">
        <v>61</v>
      </c>
      <c r="B130" s="30">
        <v>13521164</v>
      </c>
      <c r="C130" s="31" t="s">
        <v>127</v>
      </c>
      <c r="D130" s="32" t="s">
        <v>8</v>
      </c>
      <c r="E130" s="47">
        <v>10</v>
      </c>
      <c r="F130" s="47">
        <v>19</v>
      </c>
      <c r="G130" s="47">
        <v>15</v>
      </c>
      <c r="H130" s="47">
        <v>16</v>
      </c>
      <c r="I130" s="47">
        <v>10</v>
      </c>
      <c r="J130" s="47">
        <v>17</v>
      </c>
      <c r="K130" s="47">
        <v>2</v>
      </c>
      <c r="L130" s="48">
        <f t="shared" si="0"/>
        <v>89</v>
      </c>
      <c r="M130" s="28" t="s">
        <v>17</v>
      </c>
    </row>
    <row r="131" spans="1:14" ht="15" x14ac:dyDescent="0.25">
      <c r="A131" s="30">
        <v>62</v>
      </c>
      <c r="B131" s="30">
        <v>13521166</v>
      </c>
      <c r="C131" s="31" t="s">
        <v>86</v>
      </c>
      <c r="D131" s="32" t="s">
        <v>8</v>
      </c>
      <c r="E131" s="47">
        <v>10</v>
      </c>
      <c r="F131" s="47">
        <v>14.5</v>
      </c>
      <c r="G131" s="47">
        <v>15</v>
      </c>
      <c r="H131" s="47">
        <v>20</v>
      </c>
      <c r="I131" s="47">
        <v>14</v>
      </c>
      <c r="J131" s="47">
        <v>14</v>
      </c>
      <c r="K131" s="47">
        <v>2</v>
      </c>
      <c r="L131" s="48">
        <f t="shared" si="0"/>
        <v>89.5</v>
      </c>
      <c r="M131" s="28" t="s">
        <v>18</v>
      </c>
    </row>
    <row r="132" spans="1:14" ht="15" x14ac:dyDescent="0.25">
      <c r="A132" s="30">
        <v>63</v>
      </c>
      <c r="B132" s="30">
        <v>13521168</v>
      </c>
      <c r="C132" s="31" t="s">
        <v>205</v>
      </c>
      <c r="D132" s="32" t="s">
        <v>8</v>
      </c>
      <c r="E132" s="47">
        <v>6</v>
      </c>
      <c r="F132" s="47">
        <v>5</v>
      </c>
      <c r="G132" s="47">
        <v>7.5</v>
      </c>
      <c r="H132" s="47">
        <v>20</v>
      </c>
      <c r="I132" s="47">
        <v>9</v>
      </c>
      <c r="J132" s="47">
        <v>14</v>
      </c>
      <c r="K132" s="47">
        <v>2</v>
      </c>
      <c r="L132" s="48">
        <f t="shared" si="0"/>
        <v>63.5</v>
      </c>
      <c r="M132" s="28" t="s">
        <v>15</v>
      </c>
    </row>
    <row r="133" spans="1:14" ht="15" x14ac:dyDescent="0.25">
      <c r="A133" s="30">
        <v>64</v>
      </c>
      <c r="B133" s="30">
        <v>13521170</v>
      </c>
      <c r="C133" s="31" t="s">
        <v>147</v>
      </c>
      <c r="D133" s="32" t="s">
        <v>8</v>
      </c>
      <c r="E133" s="47">
        <v>7</v>
      </c>
      <c r="F133" s="47">
        <v>16.5</v>
      </c>
      <c r="G133" s="47">
        <v>15</v>
      </c>
      <c r="H133" s="47">
        <v>12</v>
      </c>
      <c r="I133" s="47">
        <v>12</v>
      </c>
      <c r="J133" s="47">
        <v>11</v>
      </c>
      <c r="K133" s="47">
        <v>2</v>
      </c>
      <c r="L133" s="48">
        <f t="shared" si="0"/>
        <v>75.5</v>
      </c>
      <c r="M133" s="28" t="s">
        <v>18</v>
      </c>
    </row>
    <row r="134" spans="1:14" ht="15" x14ac:dyDescent="0.25">
      <c r="A134" s="30">
        <v>65</v>
      </c>
      <c r="B134" s="30">
        <v>13521172</v>
      </c>
      <c r="C134" s="31" t="s">
        <v>50</v>
      </c>
      <c r="D134" s="32" t="s">
        <v>8</v>
      </c>
      <c r="E134" s="47">
        <v>10</v>
      </c>
      <c r="F134" s="47">
        <v>19</v>
      </c>
      <c r="G134" s="47">
        <v>15</v>
      </c>
      <c r="H134" s="47">
        <v>20</v>
      </c>
      <c r="I134" s="47">
        <v>18</v>
      </c>
      <c r="J134" s="47">
        <v>14</v>
      </c>
      <c r="K134" s="47">
        <v>2</v>
      </c>
      <c r="L134" s="48">
        <f t="shared" si="0"/>
        <v>98</v>
      </c>
      <c r="M134" s="28" t="s">
        <v>18</v>
      </c>
      <c r="N134" s="46">
        <f>AVERAGE(L70:L134)</f>
        <v>80.438461538461539</v>
      </c>
    </row>
    <row r="135" spans="1:14" ht="15" x14ac:dyDescent="0.25">
      <c r="A135" s="30">
        <v>1</v>
      </c>
      <c r="B135" s="30">
        <v>13521001</v>
      </c>
      <c r="C135" s="31" t="s">
        <v>135</v>
      </c>
      <c r="D135" s="32" t="s">
        <v>9</v>
      </c>
      <c r="E135" s="47">
        <v>8</v>
      </c>
      <c r="F135" s="47">
        <v>13.5</v>
      </c>
      <c r="G135" s="47">
        <v>15</v>
      </c>
      <c r="H135" s="47">
        <v>12</v>
      </c>
      <c r="I135" s="47">
        <v>12</v>
      </c>
      <c r="J135" s="47">
        <v>17</v>
      </c>
      <c r="K135" s="47">
        <v>2</v>
      </c>
      <c r="L135" s="48">
        <f t="shared" si="0"/>
        <v>79.5</v>
      </c>
      <c r="M135" s="28" t="s">
        <v>17</v>
      </c>
    </row>
    <row r="136" spans="1:14" ht="15" x14ac:dyDescent="0.25">
      <c r="A136" s="30">
        <v>2</v>
      </c>
      <c r="B136" s="30">
        <v>13521003</v>
      </c>
      <c r="C136" s="31" t="s">
        <v>150</v>
      </c>
      <c r="D136" s="32" t="s">
        <v>9</v>
      </c>
      <c r="E136" s="47">
        <v>10</v>
      </c>
      <c r="F136" s="47">
        <v>15.5</v>
      </c>
      <c r="G136" s="47">
        <v>15</v>
      </c>
      <c r="H136" s="47">
        <v>20</v>
      </c>
      <c r="I136" s="47">
        <v>10</v>
      </c>
      <c r="J136" s="47">
        <v>11</v>
      </c>
      <c r="K136" s="47">
        <v>2</v>
      </c>
      <c r="L136" s="48">
        <f t="shared" si="0"/>
        <v>83.5</v>
      </c>
      <c r="M136" s="28" t="s">
        <v>15</v>
      </c>
    </row>
    <row r="137" spans="1:14" ht="15" x14ac:dyDescent="0.25">
      <c r="A137" s="30">
        <v>3</v>
      </c>
      <c r="B137" s="30">
        <v>13521004</v>
      </c>
      <c r="C137" s="31" t="s">
        <v>102</v>
      </c>
      <c r="D137" s="32" t="s">
        <v>9</v>
      </c>
      <c r="E137" s="47">
        <v>10</v>
      </c>
      <c r="F137" s="47">
        <v>17.5</v>
      </c>
      <c r="G137" s="47">
        <v>15</v>
      </c>
      <c r="H137" s="47">
        <v>16</v>
      </c>
      <c r="I137" s="47">
        <v>11</v>
      </c>
      <c r="J137" s="47">
        <v>17</v>
      </c>
      <c r="K137" s="47">
        <v>2</v>
      </c>
      <c r="L137" s="48">
        <f t="shared" si="0"/>
        <v>88.5</v>
      </c>
      <c r="M137" s="28" t="s">
        <v>18</v>
      </c>
    </row>
    <row r="138" spans="1:14" ht="15" x14ac:dyDescent="0.25">
      <c r="A138" s="30">
        <v>4</v>
      </c>
      <c r="B138" s="30">
        <v>13521005</v>
      </c>
      <c r="C138" s="31" t="s">
        <v>177</v>
      </c>
      <c r="D138" s="32" t="s">
        <v>9</v>
      </c>
      <c r="E138" s="47">
        <v>10</v>
      </c>
      <c r="F138" s="47">
        <v>14</v>
      </c>
      <c r="G138" s="47">
        <v>15</v>
      </c>
      <c r="H138" s="47">
        <v>12</v>
      </c>
      <c r="I138" s="47">
        <v>10</v>
      </c>
      <c r="J138" s="47">
        <v>7</v>
      </c>
      <c r="K138" s="47">
        <v>2</v>
      </c>
      <c r="L138" s="48">
        <f t="shared" si="0"/>
        <v>70</v>
      </c>
      <c r="M138" s="28" t="s">
        <v>14</v>
      </c>
    </row>
    <row r="139" spans="1:14" ht="15" x14ac:dyDescent="0.25">
      <c r="A139" s="30">
        <v>5</v>
      </c>
      <c r="B139" s="30">
        <v>13521006</v>
      </c>
      <c r="C139" s="31" t="s">
        <v>139</v>
      </c>
      <c r="D139" s="32" t="s">
        <v>9</v>
      </c>
      <c r="E139" s="47">
        <v>10</v>
      </c>
      <c r="F139" s="47">
        <v>16</v>
      </c>
      <c r="G139" s="47">
        <v>15</v>
      </c>
      <c r="H139" s="47">
        <v>16</v>
      </c>
      <c r="I139" s="47">
        <v>14</v>
      </c>
      <c r="J139" s="47">
        <v>12</v>
      </c>
      <c r="K139" s="47">
        <v>2</v>
      </c>
      <c r="L139" s="48">
        <f t="shared" si="0"/>
        <v>85</v>
      </c>
      <c r="M139" s="28" t="s">
        <v>17</v>
      </c>
    </row>
    <row r="140" spans="1:14" ht="15" x14ac:dyDescent="0.25">
      <c r="A140" s="30">
        <v>6</v>
      </c>
      <c r="B140" s="30">
        <v>13521007</v>
      </c>
      <c r="C140" s="31" t="s">
        <v>130</v>
      </c>
      <c r="D140" s="32" t="s">
        <v>9</v>
      </c>
      <c r="E140" s="47">
        <v>10</v>
      </c>
      <c r="F140" s="47">
        <v>10</v>
      </c>
      <c r="G140" s="47">
        <v>15</v>
      </c>
      <c r="H140" s="47">
        <v>16</v>
      </c>
      <c r="I140" s="47">
        <v>9</v>
      </c>
      <c r="J140" s="47">
        <v>10</v>
      </c>
      <c r="K140" s="47">
        <v>2</v>
      </c>
      <c r="L140" s="48">
        <f t="shared" si="0"/>
        <v>72</v>
      </c>
      <c r="M140" s="28" t="s">
        <v>15</v>
      </c>
    </row>
    <row r="141" spans="1:14" ht="15" x14ac:dyDescent="0.25">
      <c r="A141" s="30">
        <v>7</v>
      </c>
      <c r="B141" s="30">
        <v>13521008</v>
      </c>
      <c r="C141" s="31" t="s">
        <v>111</v>
      </c>
      <c r="D141" s="32" t="s">
        <v>9</v>
      </c>
      <c r="E141" s="47">
        <v>10</v>
      </c>
      <c r="F141" s="47">
        <v>16</v>
      </c>
      <c r="G141" s="47">
        <v>15</v>
      </c>
      <c r="H141" s="47">
        <v>16</v>
      </c>
      <c r="I141" s="47">
        <v>10</v>
      </c>
      <c r="J141" s="47">
        <v>14</v>
      </c>
      <c r="K141" s="47">
        <v>2</v>
      </c>
      <c r="L141" s="48">
        <f t="shared" si="0"/>
        <v>83</v>
      </c>
      <c r="M141" s="28" t="s">
        <v>15</v>
      </c>
    </row>
    <row r="142" spans="1:14" ht="15" x14ac:dyDescent="0.25">
      <c r="A142" s="30">
        <v>8</v>
      </c>
      <c r="B142" s="30">
        <v>13521009</v>
      </c>
      <c r="C142" s="31" t="s">
        <v>189</v>
      </c>
      <c r="D142" s="32" t="s">
        <v>9</v>
      </c>
      <c r="E142" s="47">
        <v>10</v>
      </c>
      <c r="F142" s="47">
        <v>18.5</v>
      </c>
      <c r="G142" s="47">
        <v>15</v>
      </c>
      <c r="H142" s="47">
        <v>12</v>
      </c>
      <c r="I142" s="47">
        <v>6</v>
      </c>
      <c r="J142" s="47">
        <v>15</v>
      </c>
      <c r="K142" s="47">
        <v>2</v>
      </c>
      <c r="L142" s="48">
        <f t="shared" si="0"/>
        <v>78.5</v>
      </c>
      <c r="M142" s="28" t="s">
        <v>18</v>
      </c>
    </row>
    <row r="143" spans="1:14" ht="15" x14ac:dyDescent="0.25">
      <c r="A143" s="30">
        <v>9</v>
      </c>
      <c r="B143" s="30">
        <v>13521010</v>
      </c>
      <c r="C143" s="31" t="s">
        <v>152</v>
      </c>
      <c r="D143" s="32" t="s">
        <v>9</v>
      </c>
      <c r="E143" s="47">
        <v>10</v>
      </c>
      <c r="F143" s="47">
        <v>18</v>
      </c>
      <c r="G143" s="47">
        <v>15</v>
      </c>
      <c r="H143" s="47">
        <v>12</v>
      </c>
      <c r="I143" s="47">
        <v>9</v>
      </c>
      <c r="J143" s="47">
        <v>9</v>
      </c>
      <c r="K143" s="47">
        <v>2</v>
      </c>
      <c r="L143" s="48">
        <f t="shared" si="0"/>
        <v>75</v>
      </c>
      <c r="M143" s="28" t="s">
        <v>18</v>
      </c>
    </row>
    <row r="144" spans="1:14" ht="15" x14ac:dyDescent="0.25">
      <c r="A144" s="30">
        <v>10</v>
      </c>
      <c r="B144" s="30">
        <v>13521011</v>
      </c>
      <c r="C144" s="31" t="s">
        <v>109</v>
      </c>
      <c r="D144" s="32" t="s">
        <v>9</v>
      </c>
      <c r="E144" s="47">
        <v>10</v>
      </c>
      <c r="F144" s="47">
        <v>16.5</v>
      </c>
      <c r="G144" s="47">
        <v>15</v>
      </c>
      <c r="H144" s="47">
        <v>20</v>
      </c>
      <c r="I144" s="47">
        <v>12</v>
      </c>
      <c r="J144" s="47">
        <v>13</v>
      </c>
      <c r="K144" s="47">
        <v>2</v>
      </c>
      <c r="L144" s="48">
        <f t="shared" si="0"/>
        <v>88.5</v>
      </c>
      <c r="M144" s="28" t="s">
        <v>18</v>
      </c>
    </row>
    <row r="145" spans="1:13" ht="15" x14ac:dyDescent="0.25">
      <c r="A145" s="30">
        <v>11</v>
      </c>
      <c r="B145" s="30">
        <v>13521012</v>
      </c>
      <c r="C145" s="31" t="s">
        <v>158</v>
      </c>
      <c r="D145" s="32" t="s">
        <v>9</v>
      </c>
      <c r="E145" s="47">
        <v>10</v>
      </c>
      <c r="F145" s="47">
        <v>14</v>
      </c>
      <c r="G145" s="47">
        <v>15</v>
      </c>
      <c r="H145" s="47">
        <v>16</v>
      </c>
      <c r="I145" s="47">
        <v>5</v>
      </c>
      <c r="J145" s="47">
        <v>17</v>
      </c>
      <c r="K145" s="47">
        <v>2</v>
      </c>
      <c r="L145" s="48">
        <f t="shared" si="0"/>
        <v>79</v>
      </c>
      <c r="M145" s="28" t="s">
        <v>223</v>
      </c>
    </row>
    <row r="146" spans="1:13" ht="15" x14ac:dyDescent="0.25">
      <c r="A146" s="30">
        <v>12</v>
      </c>
      <c r="B146" s="30">
        <v>13521013</v>
      </c>
      <c r="C146" s="31" t="s">
        <v>179</v>
      </c>
      <c r="D146" s="32" t="s">
        <v>9</v>
      </c>
      <c r="E146" s="47">
        <v>10</v>
      </c>
      <c r="F146" s="47">
        <v>7</v>
      </c>
      <c r="G146" s="47">
        <v>15</v>
      </c>
      <c r="H146" s="47">
        <v>12</v>
      </c>
      <c r="I146" s="47">
        <v>10</v>
      </c>
      <c r="J146" s="47">
        <v>13</v>
      </c>
      <c r="K146" s="47">
        <v>2</v>
      </c>
      <c r="L146" s="48">
        <f t="shared" si="0"/>
        <v>69</v>
      </c>
      <c r="M146" s="28" t="s">
        <v>17</v>
      </c>
    </row>
    <row r="147" spans="1:13" ht="15" x14ac:dyDescent="0.25">
      <c r="A147" s="30">
        <v>13</v>
      </c>
      <c r="B147" s="30">
        <v>13521014</v>
      </c>
      <c r="C147" s="31" t="s">
        <v>121</v>
      </c>
      <c r="D147" s="32" t="s">
        <v>9</v>
      </c>
      <c r="E147" s="47">
        <v>10</v>
      </c>
      <c r="F147" s="47">
        <v>15.5</v>
      </c>
      <c r="G147" s="47">
        <v>14</v>
      </c>
      <c r="H147" s="47">
        <v>20</v>
      </c>
      <c r="I147" s="47">
        <v>15</v>
      </c>
      <c r="J147" s="47">
        <v>9</v>
      </c>
      <c r="K147" s="47">
        <v>2</v>
      </c>
      <c r="L147" s="48">
        <f t="shared" si="0"/>
        <v>85.5</v>
      </c>
      <c r="M147" s="28" t="s">
        <v>18</v>
      </c>
    </row>
    <row r="148" spans="1:13" ht="15" x14ac:dyDescent="0.25">
      <c r="A148" s="30">
        <v>14</v>
      </c>
      <c r="B148" s="30">
        <v>13521015</v>
      </c>
      <c r="C148" s="31" t="s">
        <v>134</v>
      </c>
      <c r="D148" s="32" t="s">
        <v>9</v>
      </c>
      <c r="E148" s="47">
        <v>10</v>
      </c>
      <c r="F148" s="47">
        <v>14.5</v>
      </c>
      <c r="G148" s="47">
        <v>15</v>
      </c>
      <c r="H148" s="47">
        <v>20</v>
      </c>
      <c r="I148" s="47">
        <v>5</v>
      </c>
      <c r="J148" s="47">
        <v>12</v>
      </c>
      <c r="K148" s="47">
        <v>2</v>
      </c>
      <c r="L148" s="48">
        <f t="shared" si="0"/>
        <v>78.5</v>
      </c>
      <c r="M148" s="28" t="s">
        <v>18</v>
      </c>
    </row>
    <row r="149" spans="1:13" ht="15" x14ac:dyDescent="0.25">
      <c r="A149" s="30">
        <v>15</v>
      </c>
      <c r="B149" s="30">
        <v>13521016</v>
      </c>
      <c r="C149" s="31" t="s">
        <v>182</v>
      </c>
      <c r="D149" s="32" t="s">
        <v>9</v>
      </c>
      <c r="E149" s="47">
        <v>6</v>
      </c>
      <c r="F149" s="47">
        <v>14.5</v>
      </c>
      <c r="G149" s="47">
        <v>15</v>
      </c>
      <c r="H149" s="47">
        <v>12</v>
      </c>
      <c r="I149" s="47">
        <v>10</v>
      </c>
      <c r="J149" s="47">
        <v>9</v>
      </c>
      <c r="K149" s="47">
        <v>2</v>
      </c>
      <c r="L149" s="48">
        <f t="shared" si="0"/>
        <v>68.5</v>
      </c>
      <c r="M149" s="28" t="s">
        <v>18</v>
      </c>
    </row>
    <row r="150" spans="1:13" ht="15" x14ac:dyDescent="0.25">
      <c r="A150" s="30">
        <v>16</v>
      </c>
      <c r="B150" s="30">
        <v>13521018</v>
      </c>
      <c r="C150" s="31" t="s">
        <v>87</v>
      </c>
      <c r="D150" s="32" t="s">
        <v>9</v>
      </c>
      <c r="E150" s="47">
        <v>10</v>
      </c>
      <c r="F150" s="47">
        <v>19.5</v>
      </c>
      <c r="G150" s="47">
        <v>15</v>
      </c>
      <c r="H150" s="47">
        <v>20</v>
      </c>
      <c r="I150" s="47">
        <v>14</v>
      </c>
      <c r="J150" s="47">
        <v>14</v>
      </c>
      <c r="K150" s="47">
        <v>2</v>
      </c>
      <c r="L150" s="48">
        <f t="shared" si="0"/>
        <v>94.5</v>
      </c>
      <c r="M150" s="28" t="s">
        <v>18</v>
      </c>
    </row>
    <row r="151" spans="1:13" ht="15" x14ac:dyDescent="0.25">
      <c r="A151" s="30">
        <v>17</v>
      </c>
      <c r="B151" s="30">
        <v>13521019</v>
      </c>
      <c r="C151" s="31" t="s">
        <v>120</v>
      </c>
      <c r="D151" s="32" t="s">
        <v>9</v>
      </c>
      <c r="E151" s="47">
        <v>8</v>
      </c>
      <c r="F151" s="47">
        <v>16</v>
      </c>
      <c r="G151" s="47">
        <v>15</v>
      </c>
      <c r="H151" s="47">
        <v>12</v>
      </c>
      <c r="I151" s="47">
        <v>14</v>
      </c>
      <c r="J151" s="47">
        <v>14</v>
      </c>
      <c r="K151" s="47">
        <v>2</v>
      </c>
      <c r="L151" s="48">
        <f t="shared" si="0"/>
        <v>81</v>
      </c>
      <c r="M151" s="28" t="s">
        <v>17</v>
      </c>
    </row>
    <row r="152" spans="1:13" ht="15" x14ac:dyDescent="0.25">
      <c r="A152" s="30">
        <v>18</v>
      </c>
      <c r="B152" s="30">
        <v>13521020</v>
      </c>
      <c r="C152" s="31" t="s">
        <v>198</v>
      </c>
      <c r="D152" s="32" t="s">
        <v>9</v>
      </c>
      <c r="E152" s="47">
        <v>10</v>
      </c>
      <c r="F152" s="47">
        <v>15.5</v>
      </c>
      <c r="G152" s="47">
        <v>15</v>
      </c>
      <c r="H152" s="47">
        <v>16</v>
      </c>
      <c r="I152" s="47">
        <v>5</v>
      </c>
      <c r="J152" s="47">
        <v>14</v>
      </c>
      <c r="K152" s="47">
        <v>2</v>
      </c>
      <c r="L152" s="48">
        <f t="shared" si="0"/>
        <v>77.5</v>
      </c>
      <c r="M152" s="28" t="s">
        <v>13</v>
      </c>
    </row>
    <row r="153" spans="1:13" ht="15" x14ac:dyDescent="0.25">
      <c r="A153" s="30">
        <v>19</v>
      </c>
      <c r="B153" s="30">
        <v>13521021</v>
      </c>
      <c r="C153" s="31" t="s">
        <v>72</v>
      </c>
      <c r="D153" s="32" t="s">
        <v>9</v>
      </c>
      <c r="E153" s="47">
        <v>10</v>
      </c>
      <c r="F153" s="47">
        <v>20</v>
      </c>
      <c r="G153" s="47">
        <v>15</v>
      </c>
      <c r="H153" s="47">
        <v>20</v>
      </c>
      <c r="I153" s="47">
        <v>10</v>
      </c>
      <c r="J153" s="47">
        <v>14</v>
      </c>
      <c r="K153" s="47">
        <v>2</v>
      </c>
      <c r="L153" s="48">
        <f t="shared" si="0"/>
        <v>91</v>
      </c>
      <c r="M153" s="28" t="s">
        <v>18</v>
      </c>
    </row>
    <row r="154" spans="1:13" ht="15" x14ac:dyDescent="0.25">
      <c r="A154" s="30">
        <v>20</v>
      </c>
      <c r="B154" s="30">
        <v>13521022</v>
      </c>
      <c r="C154" s="31" t="s">
        <v>122</v>
      </c>
      <c r="D154" s="32" t="s">
        <v>9</v>
      </c>
      <c r="E154" s="47">
        <v>7.5</v>
      </c>
      <c r="F154" s="47">
        <v>19.5</v>
      </c>
      <c r="G154" s="47">
        <v>15</v>
      </c>
      <c r="H154" s="47">
        <v>12</v>
      </c>
      <c r="I154" s="47">
        <v>10</v>
      </c>
      <c r="J154" s="47">
        <v>17</v>
      </c>
      <c r="K154" s="47">
        <v>2</v>
      </c>
      <c r="L154" s="48">
        <f t="shared" si="0"/>
        <v>83</v>
      </c>
      <c r="M154" s="28" t="s">
        <v>18</v>
      </c>
    </row>
    <row r="155" spans="1:13" ht="15" x14ac:dyDescent="0.25">
      <c r="A155" s="30">
        <v>21</v>
      </c>
      <c r="B155" s="30">
        <v>13521023</v>
      </c>
      <c r="C155" s="31" t="s">
        <v>161</v>
      </c>
      <c r="D155" s="32" t="s">
        <v>9</v>
      </c>
      <c r="E155" s="47">
        <v>10</v>
      </c>
      <c r="F155" s="47">
        <v>16.5</v>
      </c>
      <c r="G155" s="47">
        <v>13</v>
      </c>
      <c r="H155" s="47">
        <v>12</v>
      </c>
      <c r="I155" s="47">
        <v>14</v>
      </c>
      <c r="J155" s="47">
        <v>7</v>
      </c>
      <c r="K155" s="47">
        <v>2</v>
      </c>
      <c r="L155" s="48">
        <f t="shared" si="0"/>
        <v>74.5</v>
      </c>
      <c r="M155" s="28" t="s">
        <v>15</v>
      </c>
    </row>
    <row r="156" spans="1:13" ht="15" x14ac:dyDescent="0.25">
      <c r="A156" s="30">
        <v>22</v>
      </c>
      <c r="B156" s="30">
        <v>13521024</v>
      </c>
      <c r="C156" s="31" t="s">
        <v>89</v>
      </c>
      <c r="D156" s="32" t="s">
        <v>9</v>
      </c>
      <c r="E156" s="47">
        <v>10</v>
      </c>
      <c r="F156" s="47">
        <v>17</v>
      </c>
      <c r="G156" s="47">
        <v>15</v>
      </c>
      <c r="H156" s="47">
        <v>20</v>
      </c>
      <c r="I156" s="47">
        <v>10</v>
      </c>
      <c r="J156" s="47">
        <v>17</v>
      </c>
      <c r="K156" s="47">
        <v>2</v>
      </c>
      <c r="L156" s="48">
        <f t="shared" si="0"/>
        <v>91</v>
      </c>
      <c r="M156" s="28" t="s">
        <v>18</v>
      </c>
    </row>
    <row r="157" spans="1:13" ht="15" x14ac:dyDescent="0.25">
      <c r="A157" s="30">
        <v>23</v>
      </c>
      <c r="B157" s="30">
        <v>13521025</v>
      </c>
      <c r="C157" s="31" t="s">
        <v>156</v>
      </c>
      <c r="D157" s="32" t="s">
        <v>9</v>
      </c>
      <c r="E157" s="47">
        <v>8</v>
      </c>
      <c r="F157" s="47">
        <v>15.5</v>
      </c>
      <c r="G157" s="47">
        <v>15</v>
      </c>
      <c r="H157" s="47">
        <v>16</v>
      </c>
      <c r="I157" s="47">
        <v>10</v>
      </c>
      <c r="J157" s="47">
        <v>10</v>
      </c>
      <c r="K157" s="47">
        <v>2</v>
      </c>
      <c r="L157" s="48">
        <f t="shared" si="0"/>
        <v>76.5</v>
      </c>
      <c r="M157" s="28" t="s">
        <v>15</v>
      </c>
    </row>
    <row r="158" spans="1:13" ht="15" x14ac:dyDescent="0.25">
      <c r="A158" s="30">
        <v>24</v>
      </c>
      <c r="B158" s="30">
        <v>13521026</v>
      </c>
      <c r="C158" s="31" t="s">
        <v>169</v>
      </c>
      <c r="D158" s="32" t="s">
        <v>9</v>
      </c>
      <c r="E158" s="47">
        <v>8</v>
      </c>
      <c r="F158" s="47">
        <v>12.5</v>
      </c>
      <c r="G158" s="47">
        <v>15</v>
      </c>
      <c r="H158" s="47">
        <v>20</v>
      </c>
      <c r="I158" s="47">
        <v>4</v>
      </c>
      <c r="J158" s="47">
        <v>12</v>
      </c>
      <c r="K158" s="47">
        <v>2</v>
      </c>
      <c r="L158" s="48">
        <f t="shared" si="0"/>
        <v>73.5</v>
      </c>
      <c r="M158" s="28" t="s">
        <v>17</v>
      </c>
    </row>
    <row r="159" spans="1:13" ht="15" x14ac:dyDescent="0.25">
      <c r="A159" s="30">
        <v>25</v>
      </c>
      <c r="B159" s="30">
        <v>13521027</v>
      </c>
      <c r="C159" s="31" t="s">
        <v>145</v>
      </c>
      <c r="D159" s="32" t="s">
        <v>9</v>
      </c>
      <c r="E159" s="47">
        <v>10</v>
      </c>
      <c r="F159" s="47">
        <v>15</v>
      </c>
      <c r="G159" s="47">
        <v>15</v>
      </c>
      <c r="H159" s="47">
        <v>12</v>
      </c>
      <c r="I159" s="47">
        <v>12</v>
      </c>
      <c r="J159" s="47">
        <v>13</v>
      </c>
      <c r="K159" s="47">
        <v>2</v>
      </c>
      <c r="L159" s="48">
        <f t="shared" si="0"/>
        <v>79</v>
      </c>
      <c r="M159" s="28" t="s">
        <v>18</v>
      </c>
    </row>
    <row r="160" spans="1:13" ht="15" x14ac:dyDescent="0.25">
      <c r="A160" s="30">
        <v>26</v>
      </c>
      <c r="B160" s="30">
        <v>13521028</v>
      </c>
      <c r="C160" s="31" t="s">
        <v>187</v>
      </c>
      <c r="D160" s="32" t="s">
        <v>9</v>
      </c>
      <c r="E160" s="47">
        <v>10</v>
      </c>
      <c r="F160" s="47">
        <v>13.5</v>
      </c>
      <c r="G160" s="47">
        <v>15</v>
      </c>
      <c r="H160" s="47">
        <v>16</v>
      </c>
      <c r="I160" s="47">
        <v>5</v>
      </c>
      <c r="J160" s="47">
        <v>5</v>
      </c>
      <c r="K160" s="47">
        <v>0</v>
      </c>
      <c r="L160" s="48">
        <f t="shared" si="0"/>
        <v>64.5</v>
      </c>
      <c r="M160" s="28" t="s">
        <v>224</v>
      </c>
    </row>
    <row r="161" spans="1:14" ht="15" x14ac:dyDescent="0.25">
      <c r="A161" s="30">
        <v>27</v>
      </c>
      <c r="B161" s="30">
        <v>13521029</v>
      </c>
      <c r="C161" s="31" t="s">
        <v>188</v>
      </c>
      <c r="D161" s="32" t="s">
        <v>9</v>
      </c>
      <c r="E161" s="47">
        <v>10</v>
      </c>
      <c r="F161" s="47">
        <v>18</v>
      </c>
      <c r="G161" s="47">
        <v>15</v>
      </c>
      <c r="H161" s="47">
        <v>16</v>
      </c>
      <c r="I161" s="47">
        <v>10</v>
      </c>
      <c r="J161" s="47">
        <v>17</v>
      </c>
      <c r="K161" s="47">
        <v>2</v>
      </c>
      <c r="L161" s="48">
        <f t="shared" si="0"/>
        <v>88</v>
      </c>
      <c r="M161" s="28" t="s">
        <v>18</v>
      </c>
    </row>
    <row r="162" spans="1:14" ht="15" x14ac:dyDescent="0.25">
      <c r="A162" s="30">
        <v>28</v>
      </c>
      <c r="B162" s="30">
        <v>13521030</v>
      </c>
      <c r="C162" s="31" t="s">
        <v>165</v>
      </c>
      <c r="D162" s="32" t="s">
        <v>9</v>
      </c>
      <c r="E162" s="47">
        <v>8</v>
      </c>
      <c r="F162" s="47">
        <v>16</v>
      </c>
      <c r="G162" s="47">
        <v>15</v>
      </c>
      <c r="H162" s="47">
        <v>12</v>
      </c>
      <c r="I162" s="47">
        <v>9</v>
      </c>
      <c r="J162" s="47">
        <v>8</v>
      </c>
      <c r="K162" s="47">
        <v>2</v>
      </c>
      <c r="L162" s="48">
        <f t="shared" si="0"/>
        <v>70</v>
      </c>
      <c r="M162" s="28" t="s">
        <v>17</v>
      </c>
    </row>
    <row r="163" spans="1:14" ht="15" x14ac:dyDescent="0.25">
      <c r="A163" s="30">
        <v>29</v>
      </c>
      <c r="B163" s="30">
        <v>13521031</v>
      </c>
      <c r="C163" s="31" t="s">
        <v>136</v>
      </c>
      <c r="D163" s="32" t="s">
        <v>9</v>
      </c>
      <c r="E163" s="47">
        <v>10</v>
      </c>
      <c r="F163" s="47">
        <v>15</v>
      </c>
      <c r="G163" s="47">
        <v>15</v>
      </c>
      <c r="H163" s="47">
        <v>20</v>
      </c>
      <c r="I163" s="47">
        <v>5</v>
      </c>
      <c r="J163" s="47">
        <v>11</v>
      </c>
      <c r="K163" s="47">
        <v>2</v>
      </c>
      <c r="L163" s="48">
        <f t="shared" si="0"/>
        <v>78</v>
      </c>
      <c r="M163" s="28" t="s">
        <v>18</v>
      </c>
      <c r="N163" s="46">
        <f>AVERAGE(L135:L163)</f>
        <v>79.517241379310349</v>
      </c>
    </row>
    <row r="164" spans="1:14" ht="12.75" x14ac:dyDescent="0.2">
      <c r="L164" s="46"/>
    </row>
    <row r="165" spans="1:14" ht="12.75" x14ac:dyDescent="0.2">
      <c r="L165" s="46"/>
    </row>
    <row r="166" spans="1:14" ht="12.75" x14ac:dyDescent="0.2">
      <c r="L166" s="46"/>
    </row>
    <row r="167" spans="1:14" ht="12.75" x14ac:dyDescent="0.2">
      <c r="L167" s="46"/>
    </row>
    <row r="168" spans="1:14" ht="12.75" x14ac:dyDescent="0.2">
      <c r="L168" s="46"/>
    </row>
    <row r="169" spans="1:14" ht="12.75" x14ac:dyDescent="0.2">
      <c r="L169" s="46"/>
    </row>
    <row r="170" spans="1:14" ht="12.75" x14ac:dyDescent="0.2">
      <c r="L170" s="46"/>
    </row>
    <row r="171" spans="1:14" ht="12.75" x14ac:dyDescent="0.2">
      <c r="L171" s="46"/>
    </row>
    <row r="172" spans="1:14" ht="12.75" x14ac:dyDescent="0.2">
      <c r="L172" s="46"/>
    </row>
    <row r="173" spans="1:14" ht="12.75" x14ac:dyDescent="0.2">
      <c r="L173" s="46"/>
    </row>
    <row r="174" spans="1:14" ht="12.75" x14ac:dyDescent="0.2">
      <c r="L174" s="46"/>
    </row>
    <row r="175" spans="1:14" ht="12.75" x14ac:dyDescent="0.2">
      <c r="L175" s="46"/>
    </row>
    <row r="176" spans="1:14" ht="12.75" x14ac:dyDescent="0.2">
      <c r="L176" s="46"/>
    </row>
    <row r="177" spans="12:12" ht="12.75" x14ac:dyDescent="0.2">
      <c r="L177" s="46"/>
    </row>
    <row r="178" spans="12:12" ht="12.75" x14ac:dyDescent="0.2">
      <c r="L178" s="46"/>
    </row>
    <row r="179" spans="12:12" ht="12.75" x14ac:dyDescent="0.2">
      <c r="L179" s="46"/>
    </row>
    <row r="180" spans="12:12" ht="12.75" x14ac:dyDescent="0.2">
      <c r="L180" s="46"/>
    </row>
    <row r="181" spans="12:12" ht="12.75" x14ac:dyDescent="0.2">
      <c r="L181" s="46"/>
    </row>
    <row r="182" spans="12:12" ht="12.75" x14ac:dyDescent="0.2">
      <c r="L182" s="46"/>
    </row>
    <row r="183" spans="12:12" ht="12.75" x14ac:dyDescent="0.2">
      <c r="L183" s="46"/>
    </row>
    <row r="184" spans="12:12" ht="12.75" x14ac:dyDescent="0.2">
      <c r="L184" s="46"/>
    </row>
    <row r="185" spans="12:12" ht="12.75" x14ac:dyDescent="0.2">
      <c r="L185" s="46"/>
    </row>
    <row r="186" spans="12:12" ht="12.75" x14ac:dyDescent="0.2">
      <c r="L186" s="46"/>
    </row>
    <row r="187" spans="12:12" ht="12.75" x14ac:dyDescent="0.2">
      <c r="L187" s="46"/>
    </row>
    <row r="188" spans="12:12" ht="12.75" x14ac:dyDescent="0.2">
      <c r="L188" s="46"/>
    </row>
    <row r="189" spans="12:12" ht="12.75" x14ac:dyDescent="0.2">
      <c r="L189" s="46"/>
    </row>
    <row r="190" spans="12:12" ht="12.75" x14ac:dyDescent="0.2">
      <c r="L190" s="46"/>
    </row>
    <row r="191" spans="12:12" ht="12.75" x14ac:dyDescent="0.2">
      <c r="L191" s="46"/>
    </row>
    <row r="192" spans="12:12" ht="12.75" x14ac:dyDescent="0.2">
      <c r="L192" s="46"/>
    </row>
    <row r="193" spans="12:12" ht="12.75" x14ac:dyDescent="0.2">
      <c r="L193" s="46"/>
    </row>
    <row r="194" spans="12:12" ht="12.75" x14ac:dyDescent="0.2">
      <c r="L194" s="46"/>
    </row>
    <row r="195" spans="12:12" ht="12.75" x14ac:dyDescent="0.2">
      <c r="L195" s="46"/>
    </row>
    <row r="196" spans="12:12" ht="12.75" x14ac:dyDescent="0.2">
      <c r="L196" s="46"/>
    </row>
    <row r="197" spans="12:12" ht="12.75" x14ac:dyDescent="0.2">
      <c r="L197" s="46"/>
    </row>
    <row r="198" spans="12:12" ht="12.75" x14ac:dyDescent="0.2">
      <c r="L198" s="46"/>
    </row>
    <row r="199" spans="12:12" ht="12.75" x14ac:dyDescent="0.2">
      <c r="L199" s="46"/>
    </row>
    <row r="200" spans="12:12" ht="12.75" x14ac:dyDescent="0.2">
      <c r="L200" s="46"/>
    </row>
    <row r="201" spans="12:12" ht="12.75" x14ac:dyDescent="0.2">
      <c r="L201" s="46"/>
    </row>
    <row r="202" spans="12:12" ht="12.75" x14ac:dyDescent="0.2">
      <c r="L202" s="46"/>
    </row>
    <row r="203" spans="12:12" ht="12.75" x14ac:dyDescent="0.2">
      <c r="L203" s="46"/>
    </row>
    <row r="204" spans="12:12" ht="12.75" x14ac:dyDescent="0.2">
      <c r="L204" s="46"/>
    </row>
    <row r="205" spans="12:12" ht="12.75" x14ac:dyDescent="0.2">
      <c r="L205" s="46"/>
    </row>
    <row r="206" spans="12:12" ht="12.75" x14ac:dyDescent="0.2">
      <c r="L206" s="46"/>
    </row>
    <row r="207" spans="12:12" ht="12.75" x14ac:dyDescent="0.2">
      <c r="L207" s="46"/>
    </row>
    <row r="208" spans="12:12" ht="12.75" x14ac:dyDescent="0.2">
      <c r="L208" s="46"/>
    </row>
    <row r="209" spans="12:12" ht="12.75" x14ac:dyDescent="0.2">
      <c r="L209" s="46"/>
    </row>
    <row r="210" spans="12:12" ht="12.75" x14ac:dyDescent="0.2">
      <c r="L210" s="46"/>
    </row>
    <row r="211" spans="12:12" ht="12.75" x14ac:dyDescent="0.2">
      <c r="L211" s="46"/>
    </row>
    <row r="212" spans="12:12" ht="12.75" x14ac:dyDescent="0.2">
      <c r="L212" s="46"/>
    </row>
    <row r="213" spans="12:12" ht="12.75" x14ac:dyDescent="0.2">
      <c r="L213" s="46"/>
    </row>
    <row r="214" spans="12:12" ht="12.75" x14ac:dyDescent="0.2">
      <c r="L214" s="46"/>
    </row>
    <row r="215" spans="12:12" ht="12.75" x14ac:dyDescent="0.2">
      <c r="L215" s="46"/>
    </row>
    <row r="216" spans="12:12" ht="12.75" x14ac:dyDescent="0.2">
      <c r="L216" s="46"/>
    </row>
    <row r="217" spans="12:12" ht="12.75" x14ac:dyDescent="0.2">
      <c r="L217" s="46"/>
    </row>
    <row r="218" spans="12:12" ht="12.75" x14ac:dyDescent="0.2">
      <c r="L218" s="46"/>
    </row>
    <row r="219" spans="12:12" ht="12.75" x14ac:dyDescent="0.2">
      <c r="L219" s="46"/>
    </row>
    <row r="220" spans="12:12" ht="12.75" x14ac:dyDescent="0.2">
      <c r="L220" s="46"/>
    </row>
    <row r="221" spans="12:12" ht="12.75" x14ac:dyDescent="0.2">
      <c r="L221" s="46"/>
    </row>
    <row r="222" spans="12:12" ht="12.75" x14ac:dyDescent="0.2">
      <c r="L222" s="46"/>
    </row>
    <row r="223" spans="12:12" ht="12.75" x14ac:dyDescent="0.2">
      <c r="L223" s="46"/>
    </row>
    <row r="224" spans="12:12" ht="12.75" x14ac:dyDescent="0.2">
      <c r="L224" s="46"/>
    </row>
    <row r="225" spans="12:12" ht="12.75" x14ac:dyDescent="0.2">
      <c r="L225" s="46"/>
    </row>
    <row r="226" spans="12:12" ht="12.75" x14ac:dyDescent="0.2">
      <c r="L226" s="46"/>
    </row>
    <row r="227" spans="12:12" ht="12.75" x14ac:dyDescent="0.2">
      <c r="L227" s="46"/>
    </row>
    <row r="228" spans="12:12" ht="12.75" x14ac:dyDescent="0.2">
      <c r="L228" s="46"/>
    </row>
    <row r="229" spans="12:12" ht="12.75" x14ac:dyDescent="0.2">
      <c r="L229" s="46"/>
    </row>
    <row r="230" spans="12:12" ht="12.75" x14ac:dyDescent="0.2">
      <c r="L230" s="46"/>
    </row>
    <row r="231" spans="12:12" ht="12.75" x14ac:dyDescent="0.2">
      <c r="L231" s="46"/>
    </row>
    <row r="232" spans="12:12" ht="12.75" x14ac:dyDescent="0.2">
      <c r="L232" s="46"/>
    </row>
    <row r="233" spans="12:12" ht="12.75" x14ac:dyDescent="0.2">
      <c r="L233" s="46"/>
    </row>
    <row r="234" spans="12:12" ht="12.75" x14ac:dyDescent="0.2">
      <c r="L234" s="46"/>
    </row>
    <row r="235" spans="12:12" ht="12.75" x14ac:dyDescent="0.2">
      <c r="L235" s="46"/>
    </row>
    <row r="236" spans="12:12" ht="12.75" x14ac:dyDescent="0.2">
      <c r="L236" s="46"/>
    </row>
    <row r="237" spans="12:12" ht="12.75" x14ac:dyDescent="0.2">
      <c r="L237" s="46"/>
    </row>
    <row r="238" spans="12:12" ht="12.75" x14ac:dyDescent="0.2">
      <c r="L238" s="46"/>
    </row>
    <row r="239" spans="12:12" ht="12.75" x14ac:dyDescent="0.2">
      <c r="L239" s="46"/>
    </row>
    <row r="240" spans="12:12" ht="12.75" x14ac:dyDescent="0.2">
      <c r="L240" s="46"/>
    </row>
    <row r="241" spans="12:12" ht="12.75" x14ac:dyDescent="0.2">
      <c r="L241" s="46"/>
    </row>
    <row r="242" spans="12:12" ht="12.75" x14ac:dyDescent="0.2">
      <c r="L242" s="46"/>
    </row>
    <row r="243" spans="12:12" ht="12.75" x14ac:dyDescent="0.2">
      <c r="L243" s="46"/>
    </row>
    <row r="244" spans="12:12" ht="12.75" x14ac:dyDescent="0.2">
      <c r="L244" s="46"/>
    </row>
    <row r="245" spans="12:12" ht="12.75" x14ac:dyDescent="0.2">
      <c r="L245" s="46"/>
    </row>
    <row r="246" spans="12:12" ht="12.75" x14ac:dyDescent="0.2">
      <c r="L246" s="46"/>
    </row>
    <row r="247" spans="12:12" ht="12.75" x14ac:dyDescent="0.2">
      <c r="L247" s="46"/>
    </row>
    <row r="248" spans="12:12" ht="12.75" x14ac:dyDescent="0.2">
      <c r="L248" s="46"/>
    </row>
    <row r="249" spans="12:12" ht="12.75" x14ac:dyDescent="0.2">
      <c r="L249" s="46"/>
    </row>
    <row r="250" spans="12:12" ht="12.75" x14ac:dyDescent="0.2">
      <c r="L250" s="46"/>
    </row>
    <row r="251" spans="12:12" ht="12.75" x14ac:dyDescent="0.2">
      <c r="L251" s="46"/>
    </row>
    <row r="252" spans="12:12" ht="12.75" x14ac:dyDescent="0.2">
      <c r="L252" s="46"/>
    </row>
    <row r="253" spans="12:12" ht="12.75" x14ac:dyDescent="0.2">
      <c r="L253" s="46"/>
    </row>
    <row r="254" spans="12:12" ht="12.75" x14ac:dyDescent="0.2">
      <c r="L254" s="46"/>
    </row>
    <row r="255" spans="12:12" ht="12.75" x14ac:dyDescent="0.2">
      <c r="L255" s="46"/>
    </row>
    <row r="256" spans="12:12" ht="12.75" x14ac:dyDescent="0.2">
      <c r="L256" s="46"/>
    </row>
    <row r="257" spans="12:12" ht="12.75" x14ac:dyDescent="0.2">
      <c r="L257" s="46"/>
    </row>
    <row r="258" spans="12:12" ht="12.75" x14ac:dyDescent="0.2">
      <c r="L258" s="46"/>
    </row>
    <row r="259" spans="12:12" ht="12.75" x14ac:dyDescent="0.2">
      <c r="L259" s="46"/>
    </row>
    <row r="260" spans="12:12" ht="12.75" x14ac:dyDescent="0.2">
      <c r="L260" s="46"/>
    </row>
    <row r="261" spans="12:12" ht="12.75" x14ac:dyDescent="0.2">
      <c r="L261" s="46"/>
    </row>
    <row r="262" spans="12:12" ht="12.75" x14ac:dyDescent="0.2">
      <c r="L262" s="46"/>
    </row>
    <row r="263" spans="12:12" ht="12.75" x14ac:dyDescent="0.2">
      <c r="L263" s="46"/>
    </row>
    <row r="264" spans="12:12" ht="12.75" x14ac:dyDescent="0.2">
      <c r="L264" s="46"/>
    </row>
    <row r="265" spans="12:12" ht="12.75" x14ac:dyDescent="0.2">
      <c r="L265" s="46"/>
    </row>
    <row r="266" spans="12:12" ht="12.75" x14ac:dyDescent="0.2">
      <c r="L266" s="46"/>
    </row>
    <row r="267" spans="12:12" ht="12.75" x14ac:dyDescent="0.2">
      <c r="L267" s="46"/>
    </row>
    <row r="268" spans="12:12" ht="12.75" x14ac:dyDescent="0.2">
      <c r="L268" s="46"/>
    </row>
    <row r="269" spans="12:12" ht="12.75" x14ac:dyDescent="0.2">
      <c r="L269" s="46"/>
    </row>
    <row r="270" spans="12:12" ht="12.75" x14ac:dyDescent="0.2">
      <c r="L270" s="46"/>
    </row>
    <row r="271" spans="12:12" ht="12.75" x14ac:dyDescent="0.2">
      <c r="L271" s="46"/>
    </row>
    <row r="272" spans="12:12" ht="12.75" x14ac:dyDescent="0.2">
      <c r="L272" s="46"/>
    </row>
    <row r="273" spans="12:12" ht="12.75" x14ac:dyDescent="0.2">
      <c r="L273" s="46"/>
    </row>
    <row r="274" spans="12:12" ht="12.75" x14ac:dyDescent="0.2">
      <c r="L274" s="46"/>
    </row>
    <row r="275" spans="12:12" ht="12.75" x14ac:dyDescent="0.2">
      <c r="L275" s="46"/>
    </row>
    <row r="276" spans="12:12" ht="12.75" x14ac:dyDescent="0.2">
      <c r="L276" s="46"/>
    </row>
    <row r="277" spans="12:12" ht="12.75" x14ac:dyDescent="0.2">
      <c r="L277" s="46"/>
    </row>
    <row r="278" spans="12:12" ht="12.75" x14ac:dyDescent="0.2">
      <c r="L278" s="46"/>
    </row>
    <row r="279" spans="12:12" ht="12.75" x14ac:dyDescent="0.2">
      <c r="L279" s="46"/>
    </row>
    <row r="280" spans="12:12" ht="12.75" x14ac:dyDescent="0.2">
      <c r="L280" s="46"/>
    </row>
    <row r="281" spans="12:12" ht="12.75" x14ac:dyDescent="0.2">
      <c r="L281" s="46"/>
    </row>
    <row r="282" spans="12:12" ht="12.75" x14ac:dyDescent="0.2">
      <c r="L282" s="46"/>
    </row>
    <row r="283" spans="12:12" ht="12.75" x14ac:dyDescent="0.2">
      <c r="L283" s="46"/>
    </row>
    <row r="284" spans="12:12" ht="12.75" x14ac:dyDescent="0.2">
      <c r="L284" s="46"/>
    </row>
    <row r="285" spans="12:12" ht="12.75" x14ac:dyDescent="0.2">
      <c r="L285" s="46"/>
    </row>
    <row r="286" spans="12:12" ht="12.75" x14ac:dyDescent="0.2">
      <c r="L286" s="46"/>
    </row>
    <row r="287" spans="12:12" ht="12.75" x14ac:dyDescent="0.2">
      <c r="L287" s="46"/>
    </row>
    <row r="288" spans="12:12" ht="12.75" x14ac:dyDescent="0.2">
      <c r="L288" s="46"/>
    </row>
    <row r="289" spans="12:12" ht="12.75" x14ac:dyDescent="0.2">
      <c r="L289" s="46"/>
    </row>
    <row r="290" spans="12:12" ht="12.75" x14ac:dyDescent="0.2">
      <c r="L290" s="46"/>
    </row>
    <row r="291" spans="12:12" ht="12.75" x14ac:dyDescent="0.2">
      <c r="L291" s="46"/>
    </row>
    <row r="292" spans="12:12" ht="12.75" x14ac:dyDescent="0.2">
      <c r="L292" s="46"/>
    </row>
    <row r="293" spans="12:12" ht="12.75" x14ac:dyDescent="0.2">
      <c r="L293" s="46"/>
    </row>
    <row r="294" spans="12:12" ht="12.75" x14ac:dyDescent="0.2">
      <c r="L294" s="46"/>
    </row>
    <row r="295" spans="12:12" ht="12.75" x14ac:dyDescent="0.2">
      <c r="L295" s="46"/>
    </row>
    <row r="296" spans="12:12" ht="12.75" x14ac:dyDescent="0.2">
      <c r="L296" s="46"/>
    </row>
    <row r="297" spans="12:12" ht="12.75" x14ac:dyDescent="0.2">
      <c r="L297" s="46"/>
    </row>
    <row r="298" spans="12:12" ht="12.75" x14ac:dyDescent="0.2">
      <c r="L298" s="46"/>
    </row>
    <row r="299" spans="12:12" ht="12.75" x14ac:dyDescent="0.2">
      <c r="L299" s="46"/>
    </row>
    <row r="300" spans="12:12" ht="12.75" x14ac:dyDescent="0.2">
      <c r="L300" s="46"/>
    </row>
    <row r="301" spans="12:12" ht="12.75" x14ac:dyDescent="0.2">
      <c r="L301" s="46"/>
    </row>
    <row r="302" spans="12:12" ht="12.75" x14ac:dyDescent="0.2">
      <c r="L302" s="46"/>
    </row>
    <row r="303" spans="12:12" ht="12.75" x14ac:dyDescent="0.2">
      <c r="L303" s="46"/>
    </row>
    <row r="304" spans="12:12" ht="12.75" x14ac:dyDescent="0.2">
      <c r="L304" s="46"/>
    </row>
    <row r="305" spans="12:12" ht="12.75" x14ac:dyDescent="0.2">
      <c r="L305" s="46"/>
    </row>
    <row r="306" spans="12:12" ht="12.75" x14ac:dyDescent="0.2">
      <c r="L306" s="46"/>
    </row>
    <row r="307" spans="12:12" ht="12.75" x14ac:dyDescent="0.2">
      <c r="L307" s="46"/>
    </row>
    <row r="308" spans="12:12" ht="12.75" x14ac:dyDescent="0.2">
      <c r="L308" s="46"/>
    </row>
    <row r="309" spans="12:12" ht="12.75" x14ac:dyDescent="0.2">
      <c r="L309" s="46"/>
    </row>
    <row r="310" spans="12:12" ht="12.75" x14ac:dyDescent="0.2">
      <c r="L310" s="46"/>
    </row>
    <row r="311" spans="12:12" ht="12.75" x14ac:dyDescent="0.2">
      <c r="L311" s="46"/>
    </row>
    <row r="312" spans="12:12" ht="12.75" x14ac:dyDescent="0.2">
      <c r="L312" s="46"/>
    </row>
    <row r="313" spans="12:12" ht="12.75" x14ac:dyDescent="0.2">
      <c r="L313" s="46"/>
    </row>
    <row r="314" spans="12:12" ht="12.75" x14ac:dyDescent="0.2">
      <c r="L314" s="46"/>
    </row>
    <row r="315" spans="12:12" ht="12.75" x14ac:dyDescent="0.2">
      <c r="L315" s="46"/>
    </row>
    <row r="316" spans="12:12" ht="12.75" x14ac:dyDescent="0.2">
      <c r="L316" s="46"/>
    </row>
    <row r="317" spans="12:12" ht="12.75" x14ac:dyDescent="0.2">
      <c r="L317" s="46"/>
    </row>
    <row r="318" spans="12:12" ht="12.75" x14ac:dyDescent="0.2">
      <c r="L318" s="46"/>
    </row>
    <row r="319" spans="12:12" ht="12.75" x14ac:dyDescent="0.2">
      <c r="L319" s="46"/>
    </row>
    <row r="320" spans="12:12" ht="12.75" x14ac:dyDescent="0.2">
      <c r="L320" s="46"/>
    </row>
    <row r="321" spans="12:12" ht="12.75" x14ac:dyDescent="0.2">
      <c r="L321" s="46"/>
    </row>
    <row r="322" spans="12:12" ht="12.75" x14ac:dyDescent="0.2">
      <c r="L322" s="46"/>
    </row>
    <row r="323" spans="12:12" ht="12.75" x14ac:dyDescent="0.2">
      <c r="L323" s="46"/>
    </row>
    <row r="324" spans="12:12" ht="12.75" x14ac:dyDescent="0.2">
      <c r="L324" s="46"/>
    </row>
    <row r="325" spans="12:12" ht="12.75" x14ac:dyDescent="0.2">
      <c r="L325" s="46"/>
    </row>
    <row r="326" spans="12:12" ht="12.75" x14ac:dyDescent="0.2">
      <c r="L326" s="46"/>
    </row>
    <row r="327" spans="12:12" ht="12.75" x14ac:dyDescent="0.2">
      <c r="L327" s="46"/>
    </row>
    <row r="328" spans="12:12" ht="12.75" x14ac:dyDescent="0.2">
      <c r="L328" s="46"/>
    </row>
    <row r="329" spans="12:12" ht="12.75" x14ac:dyDescent="0.2">
      <c r="L329" s="46"/>
    </row>
    <row r="330" spans="12:12" ht="12.75" x14ac:dyDescent="0.2">
      <c r="L330" s="46"/>
    </row>
    <row r="331" spans="12:12" ht="12.75" x14ac:dyDescent="0.2">
      <c r="L331" s="46"/>
    </row>
    <row r="332" spans="12:12" ht="12.75" x14ac:dyDescent="0.2">
      <c r="L332" s="46"/>
    </row>
    <row r="333" spans="12:12" ht="12.75" x14ac:dyDescent="0.2">
      <c r="L333" s="46"/>
    </row>
    <row r="334" spans="12:12" ht="12.75" x14ac:dyDescent="0.2">
      <c r="L334" s="46"/>
    </row>
    <row r="335" spans="12:12" ht="12.75" x14ac:dyDescent="0.2">
      <c r="L335" s="46"/>
    </row>
    <row r="336" spans="12:12" ht="12.75" x14ac:dyDescent="0.2">
      <c r="L336" s="46"/>
    </row>
    <row r="337" spans="12:12" ht="12.75" x14ac:dyDescent="0.2">
      <c r="L337" s="46"/>
    </row>
    <row r="338" spans="12:12" ht="12.75" x14ac:dyDescent="0.2">
      <c r="L338" s="46"/>
    </row>
    <row r="339" spans="12:12" ht="12.75" x14ac:dyDescent="0.2">
      <c r="L339" s="46"/>
    </row>
    <row r="340" spans="12:12" ht="12.75" x14ac:dyDescent="0.2">
      <c r="L340" s="46"/>
    </row>
    <row r="341" spans="12:12" ht="12.75" x14ac:dyDescent="0.2">
      <c r="L341" s="46"/>
    </row>
    <row r="342" spans="12:12" ht="12.75" x14ac:dyDescent="0.2">
      <c r="L342" s="46"/>
    </row>
    <row r="343" spans="12:12" ht="12.75" x14ac:dyDescent="0.2">
      <c r="L343" s="46"/>
    </row>
    <row r="344" spans="12:12" ht="12.75" x14ac:dyDescent="0.2">
      <c r="L344" s="46"/>
    </row>
    <row r="345" spans="12:12" ht="12.75" x14ac:dyDescent="0.2">
      <c r="L345" s="46"/>
    </row>
    <row r="346" spans="12:12" ht="12.75" x14ac:dyDescent="0.2">
      <c r="L346" s="46"/>
    </row>
    <row r="347" spans="12:12" ht="12.75" x14ac:dyDescent="0.2">
      <c r="L347" s="46"/>
    </row>
    <row r="348" spans="12:12" ht="12.75" x14ac:dyDescent="0.2">
      <c r="L348" s="46"/>
    </row>
    <row r="349" spans="12:12" ht="12.75" x14ac:dyDescent="0.2">
      <c r="L349" s="46"/>
    </row>
    <row r="350" spans="12:12" ht="12.75" x14ac:dyDescent="0.2">
      <c r="L350" s="46"/>
    </row>
    <row r="351" spans="12:12" ht="12.75" x14ac:dyDescent="0.2">
      <c r="L351" s="46"/>
    </row>
    <row r="352" spans="12:12" ht="12.75" x14ac:dyDescent="0.2">
      <c r="L352" s="46"/>
    </row>
    <row r="353" spans="12:12" ht="12.75" x14ac:dyDescent="0.2">
      <c r="L353" s="46"/>
    </row>
    <row r="354" spans="12:12" ht="12.75" x14ac:dyDescent="0.2">
      <c r="L354" s="46"/>
    </row>
    <row r="355" spans="12:12" ht="12.75" x14ac:dyDescent="0.2">
      <c r="L355" s="46"/>
    </row>
    <row r="356" spans="12:12" ht="12.75" x14ac:dyDescent="0.2">
      <c r="L356" s="46"/>
    </row>
    <row r="357" spans="12:12" ht="12.75" x14ac:dyDescent="0.2">
      <c r="L357" s="46"/>
    </row>
    <row r="358" spans="12:12" ht="12.75" x14ac:dyDescent="0.2">
      <c r="L358" s="46"/>
    </row>
    <row r="359" spans="12:12" ht="12.75" x14ac:dyDescent="0.2">
      <c r="L359" s="46"/>
    </row>
    <row r="360" spans="12:12" ht="12.75" x14ac:dyDescent="0.2">
      <c r="L360" s="46"/>
    </row>
    <row r="361" spans="12:12" ht="12.75" x14ac:dyDescent="0.2">
      <c r="L361" s="46"/>
    </row>
    <row r="362" spans="12:12" ht="12.75" x14ac:dyDescent="0.2">
      <c r="L362" s="46"/>
    </row>
    <row r="363" spans="12:12" ht="12.75" x14ac:dyDescent="0.2">
      <c r="L363" s="46"/>
    </row>
    <row r="364" spans="12:12" ht="12.75" x14ac:dyDescent="0.2">
      <c r="L364" s="46"/>
    </row>
    <row r="365" spans="12:12" ht="12.75" x14ac:dyDescent="0.2">
      <c r="L365" s="46"/>
    </row>
    <row r="366" spans="12:12" ht="12.75" x14ac:dyDescent="0.2">
      <c r="L366" s="46"/>
    </row>
    <row r="367" spans="12:12" ht="12.75" x14ac:dyDescent="0.2">
      <c r="L367" s="46"/>
    </row>
    <row r="368" spans="12:12" ht="12.75" x14ac:dyDescent="0.2">
      <c r="L368" s="46"/>
    </row>
    <row r="369" spans="12:12" ht="12.75" x14ac:dyDescent="0.2">
      <c r="L369" s="46"/>
    </row>
    <row r="370" spans="12:12" ht="12.75" x14ac:dyDescent="0.2">
      <c r="L370" s="46"/>
    </row>
    <row r="371" spans="12:12" ht="12.75" x14ac:dyDescent="0.2">
      <c r="L371" s="46"/>
    </row>
    <row r="372" spans="12:12" ht="12.75" x14ac:dyDescent="0.2">
      <c r="L372" s="46"/>
    </row>
    <row r="373" spans="12:12" ht="12.75" x14ac:dyDescent="0.2">
      <c r="L373" s="46"/>
    </row>
    <row r="374" spans="12:12" ht="12.75" x14ac:dyDescent="0.2">
      <c r="L374" s="46"/>
    </row>
    <row r="375" spans="12:12" ht="12.75" x14ac:dyDescent="0.2">
      <c r="L375" s="46"/>
    </row>
    <row r="376" spans="12:12" ht="12.75" x14ac:dyDescent="0.2">
      <c r="L376" s="46"/>
    </row>
    <row r="377" spans="12:12" ht="12.75" x14ac:dyDescent="0.2">
      <c r="L377" s="46"/>
    </row>
    <row r="378" spans="12:12" ht="12.75" x14ac:dyDescent="0.2">
      <c r="L378" s="46"/>
    </row>
    <row r="379" spans="12:12" ht="12.75" x14ac:dyDescent="0.2">
      <c r="L379" s="46"/>
    </row>
    <row r="380" spans="12:12" ht="12.75" x14ac:dyDescent="0.2">
      <c r="L380" s="46"/>
    </row>
    <row r="381" spans="12:12" ht="12.75" x14ac:dyDescent="0.2">
      <c r="L381" s="46"/>
    </row>
    <row r="382" spans="12:12" ht="12.75" x14ac:dyDescent="0.2">
      <c r="L382" s="46"/>
    </row>
    <row r="383" spans="12:12" ht="12.75" x14ac:dyDescent="0.2">
      <c r="L383" s="46"/>
    </row>
    <row r="384" spans="12:12" ht="12.75" x14ac:dyDescent="0.2">
      <c r="L384" s="46"/>
    </row>
    <row r="385" spans="12:12" ht="12.75" x14ac:dyDescent="0.2">
      <c r="L385" s="46"/>
    </row>
    <row r="386" spans="12:12" ht="12.75" x14ac:dyDescent="0.2">
      <c r="L386" s="46"/>
    </row>
    <row r="387" spans="12:12" ht="12.75" x14ac:dyDescent="0.2">
      <c r="L387" s="46"/>
    </row>
    <row r="388" spans="12:12" ht="12.75" x14ac:dyDescent="0.2">
      <c r="L388" s="46"/>
    </row>
    <row r="389" spans="12:12" ht="12.75" x14ac:dyDescent="0.2">
      <c r="L389" s="46"/>
    </row>
    <row r="390" spans="12:12" ht="12.75" x14ac:dyDescent="0.2">
      <c r="L390" s="46"/>
    </row>
    <row r="391" spans="12:12" ht="12.75" x14ac:dyDescent="0.2">
      <c r="L391" s="46"/>
    </row>
    <row r="392" spans="12:12" ht="12.75" x14ac:dyDescent="0.2">
      <c r="L392" s="46"/>
    </row>
    <row r="393" spans="12:12" ht="12.75" x14ac:dyDescent="0.2">
      <c r="L393" s="46"/>
    </row>
    <row r="394" spans="12:12" ht="12.75" x14ac:dyDescent="0.2">
      <c r="L394" s="46"/>
    </row>
    <row r="395" spans="12:12" ht="12.75" x14ac:dyDescent="0.2">
      <c r="L395" s="46"/>
    </row>
    <row r="396" spans="12:12" ht="12.75" x14ac:dyDescent="0.2">
      <c r="L396" s="46"/>
    </row>
    <row r="397" spans="12:12" ht="12.75" x14ac:dyDescent="0.2">
      <c r="L397" s="46"/>
    </row>
    <row r="398" spans="12:12" ht="12.75" x14ac:dyDescent="0.2">
      <c r="L398" s="46"/>
    </row>
    <row r="399" spans="12:12" ht="12.75" x14ac:dyDescent="0.2">
      <c r="L399" s="46"/>
    </row>
    <row r="400" spans="12:12" ht="12.75" x14ac:dyDescent="0.2">
      <c r="L400" s="46"/>
    </row>
    <row r="401" spans="12:12" ht="12.75" x14ac:dyDescent="0.2">
      <c r="L401" s="46"/>
    </row>
    <row r="402" spans="12:12" ht="12.75" x14ac:dyDescent="0.2">
      <c r="L402" s="46"/>
    </row>
    <row r="403" spans="12:12" ht="12.75" x14ac:dyDescent="0.2">
      <c r="L403" s="46"/>
    </row>
    <row r="404" spans="12:12" ht="12.75" x14ac:dyDescent="0.2">
      <c r="L404" s="46"/>
    </row>
    <row r="405" spans="12:12" ht="12.75" x14ac:dyDescent="0.2">
      <c r="L405" s="46"/>
    </row>
    <row r="406" spans="12:12" ht="12.75" x14ac:dyDescent="0.2">
      <c r="L406" s="46"/>
    </row>
    <row r="407" spans="12:12" ht="12.75" x14ac:dyDescent="0.2">
      <c r="L407" s="46"/>
    </row>
    <row r="408" spans="12:12" ht="12.75" x14ac:dyDescent="0.2">
      <c r="L408" s="46"/>
    </row>
    <row r="409" spans="12:12" ht="12.75" x14ac:dyDescent="0.2">
      <c r="L409" s="46"/>
    </row>
    <row r="410" spans="12:12" ht="12.75" x14ac:dyDescent="0.2">
      <c r="L410" s="46"/>
    </row>
    <row r="411" spans="12:12" ht="12.75" x14ac:dyDescent="0.2">
      <c r="L411" s="46"/>
    </row>
    <row r="412" spans="12:12" ht="12.75" x14ac:dyDescent="0.2">
      <c r="L412" s="46"/>
    </row>
    <row r="413" spans="12:12" ht="12.75" x14ac:dyDescent="0.2">
      <c r="L413" s="46"/>
    </row>
    <row r="414" spans="12:12" ht="12.75" x14ac:dyDescent="0.2">
      <c r="L414" s="46"/>
    </row>
    <row r="415" spans="12:12" ht="12.75" x14ac:dyDescent="0.2">
      <c r="L415" s="46"/>
    </row>
    <row r="416" spans="12:12" ht="12.75" x14ac:dyDescent="0.2">
      <c r="L416" s="46"/>
    </row>
    <row r="417" spans="12:12" ht="12.75" x14ac:dyDescent="0.2">
      <c r="L417" s="46"/>
    </row>
    <row r="418" spans="12:12" ht="12.75" x14ac:dyDescent="0.2">
      <c r="L418" s="46"/>
    </row>
    <row r="419" spans="12:12" ht="12.75" x14ac:dyDescent="0.2">
      <c r="L419" s="46"/>
    </row>
    <row r="420" spans="12:12" ht="12.75" x14ac:dyDescent="0.2">
      <c r="L420" s="46"/>
    </row>
    <row r="421" spans="12:12" ht="12.75" x14ac:dyDescent="0.2">
      <c r="L421" s="46"/>
    </row>
    <row r="422" spans="12:12" ht="12.75" x14ac:dyDescent="0.2">
      <c r="L422" s="46"/>
    </row>
    <row r="423" spans="12:12" ht="12.75" x14ac:dyDescent="0.2">
      <c r="L423" s="46"/>
    </row>
    <row r="424" spans="12:12" ht="12.75" x14ac:dyDescent="0.2">
      <c r="L424" s="46"/>
    </row>
    <row r="425" spans="12:12" ht="12.75" x14ac:dyDescent="0.2">
      <c r="L425" s="46"/>
    </row>
    <row r="426" spans="12:12" ht="12.75" x14ac:dyDescent="0.2">
      <c r="L426" s="46"/>
    </row>
    <row r="427" spans="12:12" ht="12.75" x14ac:dyDescent="0.2">
      <c r="L427" s="46"/>
    </row>
    <row r="428" spans="12:12" ht="12.75" x14ac:dyDescent="0.2">
      <c r="L428" s="46"/>
    </row>
    <row r="429" spans="12:12" ht="12.75" x14ac:dyDescent="0.2">
      <c r="L429" s="46"/>
    </row>
    <row r="430" spans="12:12" ht="12.75" x14ac:dyDescent="0.2">
      <c r="L430" s="46"/>
    </row>
    <row r="431" spans="12:12" ht="12.75" x14ac:dyDescent="0.2">
      <c r="L431" s="46"/>
    </row>
    <row r="432" spans="12:12" ht="12.75" x14ac:dyDescent="0.2">
      <c r="L432" s="46"/>
    </row>
    <row r="433" spans="12:12" ht="12.75" x14ac:dyDescent="0.2">
      <c r="L433" s="46"/>
    </row>
    <row r="434" spans="12:12" ht="12.75" x14ac:dyDescent="0.2">
      <c r="L434" s="46"/>
    </row>
    <row r="435" spans="12:12" ht="12.75" x14ac:dyDescent="0.2">
      <c r="L435" s="46"/>
    </row>
    <row r="436" spans="12:12" ht="12.75" x14ac:dyDescent="0.2">
      <c r="L436" s="46"/>
    </row>
    <row r="437" spans="12:12" ht="12.75" x14ac:dyDescent="0.2">
      <c r="L437" s="46"/>
    </row>
    <row r="438" spans="12:12" ht="12.75" x14ac:dyDescent="0.2">
      <c r="L438" s="46"/>
    </row>
    <row r="439" spans="12:12" ht="12.75" x14ac:dyDescent="0.2">
      <c r="L439" s="46"/>
    </row>
    <row r="440" spans="12:12" ht="12.75" x14ac:dyDescent="0.2">
      <c r="L440" s="46"/>
    </row>
    <row r="441" spans="12:12" ht="12.75" x14ac:dyDescent="0.2">
      <c r="L441" s="46"/>
    </row>
    <row r="442" spans="12:12" ht="12.75" x14ac:dyDescent="0.2">
      <c r="L442" s="46"/>
    </row>
    <row r="443" spans="12:12" ht="12.75" x14ac:dyDescent="0.2">
      <c r="L443" s="46"/>
    </row>
    <row r="444" spans="12:12" ht="12.75" x14ac:dyDescent="0.2">
      <c r="L444" s="46"/>
    </row>
    <row r="445" spans="12:12" ht="12.75" x14ac:dyDescent="0.2">
      <c r="L445" s="46"/>
    </row>
    <row r="446" spans="12:12" ht="12.75" x14ac:dyDescent="0.2">
      <c r="L446" s="46"/>
    </row>
    <row r="447" spans="12:12" ht="12.75" x14ac:dyDescent="0.2">
      <c r="L447" s="46"/>
    </row>
    <row r="448" spans="12:12" ht="12.75" x14ac:dyDescent="0.2">
      <c r="L448" s="46"/>
    </row>
    <row r="449" spans="12:12" ht="12.75" x14ac:dyDescent="0.2">
      <c r="L449" s="46"/>
    </row>
    <row r="450" spans="12:12" ht="12.75" x14ac:dyDescent="0.2">
      <c r="L450" s="46"/>
    </row>
    <row r="451" spans="12:12" ht="12.75" x14ac:dyDescent="0.2">
      <c r="L451" s="46"/>
    </row>
    <row r="452" spans="12:12" ht="12.75" x14ac:dyDescent="0.2">
      <c r="L452" s="46"/>
    </row>
    <row r="453" spans="12:12" ht="12.75" x14ac:dyDescent="0.2">
      <c r="L453" s="46"/>
    </row>
    <row r="454" spans="12:12" ht="12.75" x14ac:dyDescent="0.2">
      <c r="L454" s="46"/>
    </row>
    <row r="455" spans="12:12" ht="12.75" x14ac:dyDescent="0.2">
      <c r="L455" s="46"/>
    </row>
    <row r="456" spans="12:12" ht="12.75" x14ac:dyDescent="0.2">
      <c r="L456" s="46"/>
    </row>
    <row r="457" spans="12:12" ht="12.75" x14ac:dyDescent="0.2">
      <c r="L457" s="46"/>
    </row>
    <row r="458" spans="12:12" ht="12.75" x14ac:dyDescent="0.2">
      <c r="L458" s="46"/>
    </row>
    <row r="459" spans="12:12" ht="12.75" x14ac:dyDescent="0.2">
      <c r="L459" s="46"/>
    </row>
    <row r="460" spans="12:12" ht="12.75" x14ac:dyDescent="0.2">
      <c r="L460" s="46"/>
    </row>
    <row r="461" spans="12:12" ht="12.75" x14ac:dyDescent="0.2">
      <c r="L461" s="46"/>
    </row>
    <row r="462" spans="12:12" ht="12.75" x14ac:dyDescent="0.2">
      <c r="L462" s="46"/>
    </row>
    <row r="463" spans="12:12" ht="12.75" x14ac:dyDescent="0.2">
      <c r="L463" s="46"/>
    </row>
    <row r="464" spans="12:12" ht="12.75" x14ac:dyDescent="0.2">
      <c r="L464" s="46"/>
    </row>
    <row r="465" spans="12:12" ht="12.75" x14ac:dyDescent="0.2">
      <c r="L465" s="46"/>
    </row>
    <row r="466" spans="12:12" ht="12.75" x14ac:dyDescent="0.2">
      <c r="L466" s="46"/>
    </row>
    <row r="467" spans="12:12" ht="12.75" x14ac:dyDescent="0.2">
      <c r="L467" s="46"/>
    </row>
    <row r="468" spans="12:12" ht="12.75" x14ac:dyDescent="0.2">
      <c r="L468" s="46"/>
    </row>
    <row r="469" spans="12:12" ht="12.75" x14ac:dyDescent="0.2">
      <c r="L469" s="46"/>
    </row>
    <row r="470" spans="12:12" ht="12.75" x14ac:dyDescent="0.2">
      <c r="L470" s="46"/>
    </row>
    <row r="471" spans="12:12" ht="12.75" x14ac:dyDescent="0.2">
      <c r="L471" s="46"/>
    </row>
    <row r="472" spans="12:12" ht="12.75" x14ac:dyDescent="0.2">
      <c r="L472" s="46"/>
    </row>
    <row r="473" spans="12:12" ht="12.75" x14ac:dyDescent="0.2">
      <c r="L473" s="46"/>
    </row>
    <row r="474" spans="12:12" ht="12.75" x14ac:dyDescent="0.2">
      <c r="L474" s="46"/>
    </row>
    <row r="475" spans="12:12" ht="12.75" x14ac:dyDescent="0.2">
      <c r="L475" s="46"/>
    </row>
    <row r="476" spans="12:12" ht="12.75" x14ac:dyDescent="0.2">
      <c r="L476" s="46"/>
    </row>
    <row r="477" spans="12:12" ht="12.75" x14ac:dyDescent="0.2">
      <c r="L477" s="46"/>
    </row>
    <row r="478" spans="12:12" ht="12.75" x14ac:dyDescent="0.2">
      <c r="L478" s="46"/>
    </row>
    <row r="479" spans="12:12" ht="12.75" x14ac:dyDescent="0.2">
      <c r="L479" s="46"/>
    </row>
    <row r="480" spans="12:12" ht="12.75" x14ac:dyDescent="0.2">
      <c r="L480" s="46"/>
    </row>
    <row r="481" spans="12:12" ht="12.75" x14ac:dyDescent="0.2">
      <c r="L481" s="46"/>
    </row>
    <row r="482" spans="12:12" ht="12.75" x14ac:dyDescent="0.2">
      <c r="L482" s="46"/>
    </row>
    <row r="483" spans="12:12" ht="12.75" x14ac:dyDescent="0.2">
      <c r="L483" s="46"/>
    </row>
    <row r="484" spans="12:12" ht="12.75" x14ac:dyDescent="0.2">
      <c r="L484" s="46"/>
    </row>
    <row r="485" spans="12:12" ht="12.75" x14ac:dyDescent="0.2">
      <c r="L485" s="46"/>
    </row>
    <row r="486" spans="12:12" ht="12.75" x14ac:dyDescent="0.2">
      <c r="L486" s="46"/>
    </row>
    <row r="487" spans="12:12" ht="12.75" x14ac:dyDescent="0.2">
      <c r="L487" s="46"/>
    </row>
    <row r="488" spans="12:12" ht="12.75" x14ac:dyDescent="0.2">
      <c r="L488" s="46"/>
    </row>
    <row r="489" spans="12:12" ht="12.75" x14ac:dyDescent="0.2">
      <c r="L489" s="46"/>
    </row>
    <row r="490" spans="12:12" ht="12.75" x14ac:dyDescent="0.2">
      <c r="L490" s="46"/>
    </row>
    <row r="491" spans="12:12" ht="12.75" x14ac:dyDescent="0.2">
      <c r="L491" s="46"/>
    </row>
    <row r="492" spans="12:12" ht="12.75" x14ac:dyDescent="0.2">
      <c r="L492" s="46"/>
    </row>
    <row r="493" spans="12:12" ht="12.75" x14ac:dyDescent="0.2">
      <c r="L493" s="46"/>
    </row>
    <row r="494" spans="12:12" ht="12.75" x14ac:dyDescent="0.2">
      <c r="L494" s="46"/>
    </row>
    <row r="495" spans="12:12" ht="12.75" x14ac:dyDescent="0.2">
      <c r="L495" s="46"/>
    </row>
    <row r="496" spans="12:12" ht="12.75" x14ac:dyDescent="0.2">
      <c r="L496" s="46"/>
    </row>
    <row r="497" spans="12:12" ht="12.75" x14ac:dyDescent="0.2">
      <c r="L497" s="46"/>
    </row>
    <row r="498" spans="12:12" ht="12.75" x14ac:dyDescent="0.2">
      <c r="L498" s="46"/>
    </row>
    <row r="499" spans="12:12" ht="12.75" x14ac:dyDescent="0.2">
      <c r="L499" s="46"/>
    </row>
    <row r="500" spans="12:12" ht="12.75" x14ac:dyDescent="0.2">
      <c r="L500" s="46"/>
    </row>
    <row r="501" spans="12:12" ht="12.75" x14ac:dyDescent="0.2">
      <c r="L501" s="46"/>
    </row>
    <row r="502" spans="12:12" ht="12.75" x14ac:dyDescent="0.2">
      <c r="L502" s="46"/>
    </row>
    <row r="503" spans="12:12" ht="12.75" x14ac:dyDescent="0.2">
      <c r="L503" s="46"/>
    </row>
    <row r="504" spans="12:12" ht="12.75" x14ac:dyDescent="0.2">
      <c r="L504" s="46"/>
    </row>
    <row r="505" spans="12:12" ht="12.75" x14ac:dyDescent="0.2">
      <c r="L505" s="46"/>
    </row>
    <row r="506" spans="12:12" ht="12.75" x14ac:dyDescent="0.2">
      <c r="L506" s="46"/>
    </row>
    <row r="507" spans="12:12" ht="12.75" x14ac:dyDescent="0.2">
      <c r="L507" s="46"/>
    </row>
    <row r="508" spans="12:12" ht="12.75" x14ac:dyDescent="0.2">
      <c r="L508" s="46"/>
    </row>
    <row r="509" spans="12:12" ht="12.75" x14ac:dyDescent="0.2">
      <c r="L509" s="46"/>
    </row>
    <row r="510" spans="12:12" ht="12.75" x14ac:dyDescent="0.2">
      <c r="L510" s="46"/>
    </row>
    <row r="511" spans="12:12" ht="12.75" x14ac:dyDescent="0.2">
      <c r="L511" s="46"/>
    </row>
    <row r="512" spans="12:12" ht="12.75" x14ac:dyDescent="0.2">
      <c r="L512" s="46"/>
    </row>
    <row r="513" spans="12:12" ht="12.75" x14ac:dyDescent="0.2">
      <c r="L513" s="46"/>
    </row>
    <row r="514" spans="12:12" ht="12.75" x14ac:dyDescent="0.2">
      <c r="L514" s="46"/>
    </row>
    <row r="515" spans="12:12" ht="12.75" x14ac:dyDescent="0.2">
      <c r="L515" s="46"/>
    </row>
    <row r="516" spans="12:12" ht="12.75" x14ac:dyDescent="0.2">
      <c r="L516" s="46"/>
    </row>
    <row r="517" spans="12:12" ht="12.75" x14ac:dyDescent="0.2">
      <c r="L517" s="46"/>
    </row>
    <row r="518" spans="12:12" ht="12.75" x14ac:dyDescent="0.2">
      <c r="L518" s="46"/>
    </row>
    <row r="519" spans="12:12" ht="12.75" x14ac:dyDescent="0.2">
      <c r="L519" s="46"/>
    </row>
    <row r="520" spans="12:12" ht="12.75" x14ac:dyDescent="0.2">
      <c r="L520" s="46"/>
    </row>
    <row r="521" spans="12:12" ht="12.75" x14ac:dyDescent="0.2">
      <c r="L521" s="46"/>
    </row>
    <row r="522" spans="12:12" ht="12.75" x14ac:dyDescent="0.2">
      <c r="L522" s="46"/>
    </row>
    <row r="523" spans="12:12" ht="12.75" x14ac:dyDescent="0.2">
      <c r="L523" s="46"/>
    </row>
    <row r="524" spans="12:12" ht="12.75" x14ac:dyDescent="0.2">
      <c r="L524" s="46"/>
    </row>
    <row r="525" spans="12:12" ht="12.75" x14ac:dyDescent="0.2">
      <c r="L525" s="46"/>
    </row>
    <row r="526" spans="12:12" ht="12.75" x14ac:dyDescent="0.2">
      <c r="L526" s="46"/>
    </row>
    <row r="527" spans="12:12" ht="12.75" x14ac:dyDescent="0.2">
      <c r="L527" s="46"/>
    </row>
    <row r="528" spans="12:12" ht="12.75" x14ac:dyDescent="0.2">
      <c r="L528" s="46"/>
    </row>
    <row r="529" spans="12:12" ht="12.75" x14ac:dyDescent="0.2">
      <c r="L529" s="46"/>
    </row>
    <row r="530" spans="12:12" ht="12.75" x14ac:dyDescent="0.2">
      <c r="L530" s="46"/>
    </row>
    <row r="531" spans="12:12" ht="12.75" x14ac:dyDescent="0.2">
      <c r="L531" s="46"/>
    </row>
    <row r="532" spans="12:12" ht="12.75" x14ac:dyDescent="0.2">
      <c r="L532" s="46"/>
    </row>
    <row r="533" spans="12:12" ht="12.75" x14ac:dyDescent="0.2">
      <c r="L533" s="46"/>
    </row>
    <row r="534" spans="12:12" ht="12.75" x14ac:dyDescent="0.2">
      <c r="L534" s="46"/>
    </row>
    <row r="535" spans="12:12" ht="12.75" x14ac:dyDescent="0.2">
      <c r="L535" s="46"/>
    </row>
    <row r="536" spans="12:12" ht="12.75" x14ac:dyDescent="0.2">
      <c r="L536" s="46"/>
    </row>
    <row r="537" spans="12:12" ht="12.75" x14ac:dyDescent="0.2">
      <c r="L537" s="46"/>
    </row>
    <row r="538" spans="12:12" ht="12.75" x14ac:dyDescent="0.2">
      <c r="L538" s="46"/>
    </row>
    <row r="539" spans="12:12" ht="12.75" x14ac:dyDescent="0.2">
      <c r="L539" s="46"/>
    </row>
    <row r="540" spans="12:12" ht="12.75" x14ac:dyDescent="0.2">
      <c r="L540" s="46"/>
    </row>
    <row r="541" spans="12:12" ht="12.75" x14ac:dyDescent="0.2">
      <c r="L541" s="46"/>
    </row>
    <row r="542" spans="12:12" ht="12.75" x14ac:dyDescent="0.2">
      <c r="L542" s="46"/>
    </row>
    <row r="543" spans="12:12" ht="12.75" x14ac:dyDescent="0.2">
      <c r="L543" s="46"/>
    </row>
    <row r="544" spans="12:12" ht="12.75" x14ac:dyDescent="0.2">
      <c r="L544" s="46"/>
    </row>
    <row r="545" spans="12:12" ht="12.75" x14ac:dyDescent="0.2">
      <c r="L545" s="46"/>
    </row>
    <row r="546" spans="12:12" ht="12.75" x14ac:dyDescent="0.2">
      <c r="L546" s="46"/>
    </row>
    <row r="547" spans="12:12" ht="12.75" x14ac:dyDescent="0.2">
      <c r="L547" s="46"/>
    </row>
    <row r="548" spans="12:12" ht="12.75" x14ac:dyDescent="0.2">
      <c r="L548" s="46"/>
    </row>
    <row r="549" spans="12:12" ht="12.75" x14ac:dyDescent="0.2">
      <c r="L549" s="46"/>
    </row>
    <row r="550" spans="12:12" ht="12.75" x14ac:dyDescent="0.2">
      <c r="L550" s="46"/>
    </row>
    <row r="551" spans="12:12" ht="12.75" x14ac:dyDescent="0.2">
      <c r="L551" s="46"/>
    </row>
    <row r="552" spans="12:12" ht="12.75" x14ac:dyDescent="0.2">
      <c r="L552" s="46"/>
    </row>
    <row r="553" spans="12:12" ht="12.75" x14ac:dyDescent="0.2">
      <c r="L553" s="46"/>
    </row>
    <row r="554" spans="12:12" ht="12.75" x14ac:dyDescent="0.2">
      <c r="L554" s="46"/>
    </row>
    <row r="555" spans="12:12" ht="12.75" x14ac:dyDescent="0.2">
      <c r="L555" s="46"/>
    </row>
    <row r="556" spans="12:12" ht="12.75" x14ac:dyDescent="0.2">
      <c r="L556" s="46"/>
    </row>
    <row r="557" spans="12:12" ht="12.75" x14ac:dyDescent="0.2">
      <c r="L557" s="46"/>
    </row>
    <row r="558" spans="12:12" ht="12.75" x14ac:dyDescent="0.2">
      <c r="L558" s="46"/>
    </row>
    <row r="559" spans="12:12" ht="12.75" x14ac:dyDescent="0.2">
      <c r="L559" s="46"/>
    </row>
    <row r="560" spans="12:12" ht="12.75" x14ac:dyDescent="0.2">
      <c r="L560" s="46"/>
    </row>
    <row r="561" spans="12:12" ht="12.75" x14ac:dyDescent="0.2">
      <c r="L561" s="46"/>
    </row>
    <row r="562" spans="12:12" ht="12.75" x14ac:dyDescent="0.2">
      <c r="L562" s="46"/>
    </row>
    <row r="563" spans="12:12" ht="12.75" x14ac:dyDescent="0.2">
      <c r="L563" s="46"/>
    </row>
    <row r="564" spans="12:12" ht="12.75" x14ac:dyDescent="0.2">
      <c r="L564" s="46"/>
    </row>
    <row r="565" spans="12:12" ht="12.75" x14ac:dyDescent="0.2">
      <c r="L565" s="46"/>
    </row>
    <row r="566" spans="12:12" ht="12.75" x14ac:dyDescent="0.2">
      <c r="L566" s="46"/>
    </row>
    <row r="567" spans="12:12" ht="12.75" x14ac:dyDescent="0.2">
      <c r="L567" s="46"/>
    </row>
    <row r="568" spans="12:12" ht="12.75" x14ac:dyDescent="0.2">
      <c r="L568" s="46"/>
    </row>
    <row r="569" spans="12:12" ht="12.75" x14ac:dyDescent="0.2">
      <c r="L569" s="46"/>
    </row>
    <row r="570" spans="12:12" ht="12.75" x14ac:dyDescent="0.2">
      <c r="L570" s="46"/>
    </row>
    <row r="571" spans="12:12" ht="12.75" x14ac:dyDescent="0.2">
      <c r="L571" s="46"/>
    </row>
    <row r="572" spans="12:12" ht="12.75" x14ac:dyDescent="0.2">
      <c r="L572" s="46"/>
    </row>
    <row r="573" spans="12:12" ht="12.75" x14ac:dyDescent="0.2">
      <c r="L573" s="46"/>
    </row>
    <row r="574" spans="12:12" ht="12.75" x14ac:dyDescent="0.2">
      <c r="L574" s="46"/>
    </row>
    <row r="575" spans="12:12" ht="12.75" x14ac:dyDescent="0.2">
      <c r="L575" s="46"/>
    </row>
    <row r="576" spans="12:12" ht="12.75" x14ac:dyDescent="0.2">
      <c r="L576" s="46"/>
    </row>
    <row r="577" spans="12:12" ht="12.75" x14ac:dyDescent="0.2">
      <c r="L577" s="46"/>
    </row>
    <row r="578" spans="12:12" ht="12.75" x14ac:dyDescent="0.2">
      <c r="L578" s="46"/>
    </row>
    <row r="579" spans="12:12" ht="12.75" x14ac:dyDescent="0.2">
      <c r="L579" s="46"/>
    </row>
    <row r="580" spans="12:12" ht="12.75" x14ac:dyDescent="0.2">
      <c r="L580" s="46"/>
    </row>
    <row r="581" spans="12:12" ht="12.75" x14ac:dyDescent="0.2">
      <c r="L581" s="46"/>
    </row>
    <row r="582" spans="12:12" ht="12.75" x14ac:dyDescent="0.2">
      <c r="L582" s="46"/>
    </row>
    <row r="583" spans="12:12" ht="12.75" x14ac:dyDescent="0.2">
      <c r="L583" s="46"/>
    </row>
    <row r="584" spans="12:12" ht="12.75" x14ac:dyDescent="0.2">
      <c r="L584" s="46"/>
    </row>
    <row r="585" spans="12:12" ht="12.75" x14ac:dyDescent="0.2">
      <c r="L585" s="46"/>
    </row>
    <row r="586" spans="12:12" ht="12.75" x14ac:dyDescent="0.2">
      <c r="L586" s="46"/>
    </row>
    <row r="587" spans="12:12" ht="12.75" x14ac:dyDescent="0.2">
      <c r="L587" s="46"/>
    </row>
    <row r="588" spans="12:12" ht="12.75" x14ac:dyDescent="0.2">
      <c r="L588" s="46"/>
    </row>
    <row r="589" spans="12:12" ht="12.75" x14ac:dyDescent="0.2">
      <c r="L589" s="46"/>
    </row>
    <row r="590" spans="12:12" ht="12.75" x14ac:dyDescent="0.2">
      <c r="L590" s="46"/>
    </row>
    <row r="591" spans="12:12" ht="12.75" x14ac:dyDescent="0.2">
      <c r="L591" s="46"/>
    </row>
    <row r="592" spans="12:12" ht="12.75" x14ac:dyDescent="0.2">
      <c r="L592" s="46"/>
    </row>
    <row r="593" spans="12:12" ht="12.75" x14ac:dyDescent="0.2">
      <c r="L593" s="46"/>
    </row>
    <row r="594" spans="12:12" ht="12.75" x14ac:dyDescent="0.2">
      <c r="L594" s="46"/>
    </row>
    <row r="595" spans="12:12" ht="12.75" x14ac:dyDescent="0.2">
      <c r="L595" s="46"/>
    </row>
    <row r="596" spans="12:12" ht="12.75" x14ac:dyDescent="0.2">
      <c r="L596" s="46"/>
    </row>
    <row r="597" spans="12:12" ht="12.75" x14ac:dyDescent="0.2">
      <c r="L597" s="46"/>
    </row>
    <row r="598" spans="12:12" ht="12.75" x14ac:dyDescent="0.2">
      <c r="L598" s="46"/>
    </row>
    <row r="599" spans="12:12" ht="12.75" x14ac:dyDescent="0.2">
      <c r="L599" s="46"/>
    </row>
    <row r="600" spans="12:12" ht="12.75" x14ac:dyDescent="0.2">
      <c r="L600" s="46"/>
    </row>
    <row r="601" spans="12:12" ht="12.75" x14ac:dyDescent="0.2">
      <c r="L601" s="46"/>
    </row>
    <row r="602" spans="12:12" ht="12.75" x14ac:dyDescent="0.2">
      <c r="L602" s="46"/>
    </row>
    <row r="603" spans="12:12" ht="12.75" x14ac:dyDescent="0.2">
      <c r="L603" s="46"/>
    </row>
    <row r="604" spans="12:12" ht="12.75" x14ac:dyDescent="0.2">
      <c r="L604" s="46"/>
    </row>
    <row r="605" spans="12:12" ht="12.75" x14ac:dyDescent="0.2">
      <c r="L605" s="46"/>
    </row>
    <row r="606" spans="12:12" ht="12.75" x14ac:dyDescent="0.2">
      <c r="L606" s="46"/>
    </row>
    <row r="607" spans="12:12" ht="12.75" x14ac:dyDescent="0.2">
      <c r="L607" s="46"/>
    </row>
    <row r="608" spans="12:12" ht="12.75" x14ac:dyDescent="0.2">
      <c r="L608" s="46"/>
    </row>
    <row r="609" spans="12:12" ht="12.75" x14ac:dyDescent="0.2">
      <c r="L609" s="46"/>
    </row>
    <row r="610" spans="12:12" ht="12.75" x14ac:dyDescent="0.2">
      <c r="L610" s="46"/>
    </row>
    <row r="611" spans="12:12" ht="12.75" x14ac:dyDescent="0.2">
      <c r="L611" s="46"/>
    </row>
    <row r="612" spans="12:12" ht="12.75" x14ac:dyDescent="0.2">
      <c r="L612" s="46"/>
    </row>
    <row r="613" spans="12:12" ht="12.75" x14ac:dyDescent="0.2">
      <c r="L613" s="46"/>
    </row>
    <row r="614" spans="12:12" ht="12.75" x14ac:dyDescent="0.2">
      <c r="L614" s="46"/>
    </row>
    <row r="615" spans="12:12" ht="12.75" x14ac:dyDescent="0.2">
      <c r="L615" s="46"/>
    </row>
    <row r="616" spans="12:12" ht="12.75" x14ac:dyDescent="0.2">
      <c r="L616" s="46"/>
    </row>
    <row r="617" spans="12:12" ht="12.75" x14ac:dyDescent="0.2">
      <c r="L617" s="46"/>
    </row>
    <row r="618" spans="12:12" ht="12.75" x14ac:dyDescent="0.2">
      <c r="L618" s="46"/>
    </row>
    <row r="619" spans="12:12" ht="12.75" x14ac:dyDescent="0.2">
      <c r="L619" s="46"/>
    </row>
    <row r="620" spans="12:12" ht="12.75" x14ac:dyDescent="0.2">
      <c r="L620" s="46"/>
    </row>
    <row r="621" spans="12:12" ht="12.75" x14ac:dyDescent="0.2">
      <c r="L621" s="46"/>
    </row>
    <row r="622" spans="12:12" ht="12.75" x14ac:dyDescent="0.2">
      <c r="L622" s="46"/>
    </row>
    <row r="623" spans="12:12" ht="12.75" x14ac:dyDescent="0.2">
      <c r="L623" s="46"/>
    </row>
    <row r="624" spans="12:12" ht="12.75" x14ac:dyDescent="0.2">
      <c r="L624" s="46"/>
    </row>
    <row r="625" spans="12:12" ht="12.75" x14ac:dyDescent="0.2">
      <c r="L625" s="46"/>
    </row>
    <row r="626" spans="12:12" ht="12.75" x14ac:dyDescent="0.2">
      <c r="L626" s="46"/>
    </row>
    <row r="627" spans="12:12" ht="12.75" x14ac:dyDescent="0.2">
      <c r="L627" s="46"/>
    </row>
    <row r="628" spans="12:12" ht="12.75" x14ac:dyDescent="0.2">
      <c r="L628" s="46"/>
    </row>
    <row r="629" spans="12:12" ht="12.75" x14ac:dyDescent="0.2">
      <c r="L629" s="46"/>
    </row>
    <row r="630" spans="12:12" ht="12.75" x14ac:dyDescent="0.2">
      <c r="L630" s="46"/>
    </row>
    <row r="631" spans="12:12" ht="12.75" x14ac:dyDescent="0.2">
      <c r="L631" s="46"/>
    </row>
    <row r="632" spans="12:12" ht="12.75" x14ac:dyDescent="0.2">
      <c r="L632" s="46"/>
    </row>
    <row r="633" spans="12:12" ht="12.75" x14ac:dyDescent="0.2">
      <c r="L633" s="46"/>
    </row>
    <row r="634" spans="12:12" ht="12.75" x14ac:dyDescent="0.2">
      <c r="L634" s="46"/>
    </row>
    <row r="635" spans="12:12" ht="12.75" x14ac:dyDescent="0.2">
      <c r="L635" s="46"/>
    </row>
    <row r="636" spans="12:12" ht="12.75" x14ac:dyDescent="0.2">
      <c r="L636" s="46"/>
    </row>
    <row r="637" spans="12:12" ht="12.75" x14ac:dyDescent="0.2">
      <c r="L637" s="46"/>
    </row>
    <row r="638" spans="12:12" ht="12.75" x14ac:dyDescent="0.2">
      <c r="L638" s="46"/>
    </row>
    <row r="639" spans="12:12" ht="12.75" x14ac:dyDescent="0.2">
      <c r="L639" s="46"/>
    </row>
    <row r="640" spans="12:12" ht="12.75" x14ac:dyDescent="0.2">
      <c r="L640" s="46"/>
    </row>
    <row r="641" spans="12:12" ht="12.75" x14ac:dyDescent="0.2">
      <c r="L641" s="46"/>
    </row>
    <row r="642" spans="12:12" ht="12.75" x14ac:dyDescent="0.2">
      <c r="L642" s="46"/>
    </row>
    <row r="643" spans="12:12" ht="12.75" x14ac:dyDescent="0.2">
      <c r="L643" s="46"/>
    </row>
    <row r="644" spans="12:12" ht="12.75" x14ac:dyDescent="0.2">
      <c r="L644" s="46"/>
    </row>
    <row r="645" spans="12:12" ht="12.75" x14ac:dyDescent="0.2">
      <c r="L645" s="46"/>
    </row>
    <row r="646" spans="12:12" ht="12.75" x14ac:dyDescent="0.2">
      <c r="L646" s="46"/>
    </row>
    <row r="647" spans="12:12" ht="12.75" x14ac:dyDescent="0.2">
      <c r="L647" s="46"/>
    </row>
    <row r="648" spans="12:12" ht="12.75" x14ac:dyDescent="0.2">
      <c r="L648" s="46"/>
    </row>
    <row r="649" spans="12:12" ht="12.75" x14ac:dyDescent="0.2">
      <c r="L649" s="46"/>
    </row>
    <row r="650" spans="12:12" ht="12.75" x14ac:dyDescent="0.2">
      <c r="L650" s="46"/>
    </row>
    <row r="651" spans="12:12" ht="12.75" x14ac:dyDescent="0.2">
      <c r="L651" s="46"/>
    </row>
    <row r="652" spans="12:12" ht="12.75" x14ac:dyDescent="0.2">
      <c r="L652" s="46"/>
    </row>
    <row r="653" spans="12:12" ht="12.75" x14ac:dyDescent="0.2">
      <c r="L653" s="46"/>
    </row>
    <row r="654" spans="12:12" ht="12.75" x14ac:dyDescent="0.2">
      <c r="L654" s="46"/>
    </row>
    <row r="655" spans="12:12" ht="12.75" x14ac:dyDescent="0.2">
      <c r="L655" s="46"/>
    </row>
    <row r="656" spans="12:12" ht="12.75" x14ac:dyDescent="0.2">
      <c r="L656" s="46"/>
    </row>
    <row r="657" spans="12:12" ht="12.75" x14ac:dyDescent="0.2">
      <c r="L657" s="46"/>
    </row>
    <row r="658" spans="12:12" ht="12.75" x14ac:dyDescent="0.2">
      <c r="L658" s="46"/>
    </row>
    <row r="659" spans="12:12" ht="12.75" x14ac:dyDescent="0.2">
      <c r="L659" s="46"/>
    </row>
    <row r="660" spans="12:12" ht="12.75" x14ac:dyDescent="0.2">
      <c r="L660" s="46"/>
    </row>
    <row r="661" spans="12:12" ht="12.75" x14ac:dyDescent="0.2">
      <c r="L661" s="46"/>
    </row>
    <row r="662" spans="12:12" ht="12.75" x14ac:dyDescent="0.2">
      <c r="L662" s="46"/>
    </row>
    <row r="663" spans="12:12" ht="12.75" x14ac:dyDescent="0.2">
      <c r="L663" s="46"/>
    </row>
    <row r="664" spans="12:12" ht="12.75" x14ac:dyDescent="0.2">
      <c r="L664" s="46"/>
    </row>
    <row r="665" spans="12:12" ht="12.75" x14ac:dyDescent="0.2">
      <c r="L665" s="46"/>
    </row>
    <row r="666" spans="12:12" ht="12.75" x14ac:dyDescent="0.2">
      <c r="L666" s="46"/>
    </row>
    <row r="667" spans="12:12" ht="12.75" x14ac:dyDescent="0.2">
      <c r="L667" s="46"/>
    </row>
    <row r="668" spans="12:12" ht="12.75" x14ac:dyDescent="0.2">
      <c r="L668" s="46"/>
    </row>
    <row r="669" spans="12:12" ht="12.75" x14ac:dyDescent="0.2">
      <c r="L669" s="46"/>
    </row>
    <row r="670" spans="12:12" ht="12.75" x14ac:dyDescent="0.2">
      <c r="L670" s="46"/>
    </row>
    <row r="671" spans="12:12" ht="12.75" x14ac:dyDescent="0.2">
      <c r="L671" s="46"/>
    </row>
    <row r="672" spans="12:12" ht="12.75" x14ac:dyDescent="0.2">
      <c r="L672" s="46"/>
    </row>
    <row r="673" spans="12:12" ht="12.75" x14ac:dyDescent="0.2">
      <c r="L673" s="46"/>
    </row>
    <row r="674" spans="12:12" ht="12.75" x14ac:dyDescent="0.2">
      <c r="L674" s="46"/>
    </row>
    <row r="675" spans="12:12" ht="12.75" x14ac:dyDescent="0.2">
      <c r="L675" s="46"/>
    </row>
    <row r="676" spans="12:12" ht="12.75" x14ac:dyDescent="0.2">
      <c r="L676" s="46"/>
    </row>
    <row r="677" spans="12:12" ht="12.75" x14ac:dyDescent="0.2">
      <c r="L677" s="46"/>
    </row>
    <row r="678" spans="12:12" ht="12.75" x14ac:dyDescent="0.2">
      <c r="L678" s="46"/>
    </row>
    <row r="679" spans="12:12" ht="12.75" x14ac:dyDescent="0.2">
      <c r="L679" s="46"/>
    </row>
    <row r="680" spans="12:12" ht="12.75" x14ac:dyDescent="0.2">
      <c r="L680" s="46"/>
    </row>
    <row r="681" spans="12:12" ht="12.75" x14ac:dyDescent="0.2">
      <c r="L681" s="46"/>
    </row>
    <row r="682" spans="12:12" ht="12.75" x14ac:dyDescent="0.2">
      <c r="L682" s="46"/>
    </row>
    <row r="683" spans="12:12" ht="12.75" x14ac:dyDescent="0.2">
      <c r="L683" s="46"/>
    </row>
    <row r="684" spans="12:12" ht="12.75" x14ac:dyDescent="0.2">
      <c r="L684" s="46"/>
    </row>
    <row r="685" spans="12:12" ht="12.75" x14ac:dyDescent="0.2">
      <c r="L685" s="46"/>
    </row>
    <row r="686" spans="12:12" ht="12.75" x14ac:dyDescent="0.2">
      <c r="L686" s="46"/>
    </row>
    <row r="687" spans="12:12" ht="12.75" x14ac:dyDescent="0.2">
      <c r="L687" s="46"/>
    </row>
    <row r="688" spans="12:12" ht="12.75" x14ac:dyDescent="0.2">
      <c r="L688" s="46"/>
    </row>
    <row r="689" spans="12:12" ht="12.75" x14ac:dyDescent="0.2">
      <c r="L689" s="46"/>
    </row>
    <row r="690" spans="12:12" ht="12.75" x14ac:dyDescent="0.2">
      <c r="L690" s="46"/>
    </row>
    <row r="691" spans="12:12" ht="12.75" x14ac:dyDescent="0.2">
      <c r="L691" s="46"/>
    </row>
    <row r="692" spans="12:12" ht="12.75" x14ac:dyDescent="0.2">
      <c r="L692" s="46"/>
    </row>
    <row r="693" spans="12:12" ht="12.75" x14ac:dyDescent="0.2">
      <c r="L693" s="46"/>
    </row>
    <row r="694" spans="12:12" ht="12.75" x14ac:dyDescent="0.2">
      <c r="L694" s="46"/>
    </row>
    <row r="695" spans="12:12" ht="12.75" x14ac:dyDescent="0.2">
      <c r="L695" s="46"/>
    </row>
    <row r="696" spans="12:12" ht="12.75" x14ac:dyDescent="0.2">
      <c r="L696" s="46"/>
    </row>
    <row r="697" spans="12:12" ht="12.75" x14ac:dyDescent="0.2">
      <c r="L697" s="46"/>
    </row>
    <row r="698" spans="12:12" ht="12.75" x14ac:dyDescent="0.2">
      <c r="L698" s="46"/>
    </row>
    <row r="699" spans="12:12" ht="12.75" x14ac:dyDescent="0.2">
      <c r="L699" s="46"/>
    </row>
    <row r="700" spans="12:12" ht="12.75" x14ac:dyDescent="0.2">
      <c r="L700" s="46"/>
    </row>
    <row r="701" spans="12:12" ht="12.75" x14ac:dyDescent="0.2">
      <c r="L701" s="46"/>
    </row>
    <row r="702" spans="12:12" ht="12.75" x14ac:dyDescent="0.2">
      <c r="L702" s="46"/>
    </row>
    <row r="703" spans="12:12" ht="12.75" x14ac:dyDescent="0.2">
      <c r="L703" s="46"/>
    </row>
    <row r="704" spans="12:12" ht="12.75" x14ac:dyDescent="0.2">
      <c r="L704" s="46"/>
    </row>
    <row r="705" spans="12:12" ht="12.75" x14ac:dyDescent="0.2">
      <c r="L705" s="46"/>
    </row>
    <row r="706" spans="12:12" ht="12.75" x14ac:dyDescent="0.2">
      <c r="L706" s="46"/>
    </row>
    <row r="707" spans="12:12" ht="12.75" x14ac:dyDescent="0.2">
      <c r="L707" s="46"/>
    </row>
    <row r="708" spans="12:12" ht="12.75" x14ac:dyDescent="0.2">
      <c r="L708" s="46"/>
    </row>
    <row r="709" spans="12:12" ht="12.75" x14ac:dyDescent="0.2">
      <c r="L709" s="46"/>
    </row>
    <row r="710" spans="12:12" ht="12.75" x14ac:dyDescent="0.2">
      <c r="L710" s="46"/>
    </row>
    <row r="711" spans="12:12" ht="12.75" x14ac:dyDescent="0.2">
      <c r="L711" s="46"/>
    </row>
    <row r="712" spans="12:12" ht="12.75" x14ac:dyDescent="0.2">
      <c r="L712" s="46"/>
    </row>
    <row r="713" spans="12:12" ht="12.75" x14ac:dyDescent="0.2">
      <c r="L713" s="46"/>
    </row>
    <row r="714" spans="12:12" ht="12.75" x14ac:dyDescent="0.2">
      <c r="L714" s="46"/>
    </row>
    <row r="715" spans="12:12" ht="12.75" x14ac:dyDescent="0.2">
      <c r="L715" s="46"/>
    </row>
    <row r="716" spans="12:12" ht="12.75" x14ac:dyDescent="0.2">
      <c r="L716" s="46"/>
    </row>
    <row r="717" spans="12:12" ht="12.75" x14ac:dyDescent="0.2">
      <c r="L717" s="46"/>
    </row>
    <row r="718" spans="12:12" ht="12.75" x14ac:dyDescent="0.2">
      <c r="L718" s="46"/>
    </row>
    <row r="719" spans="12:12" ht="12.75" x14ac:dyDescent="0.2">
      <c r="L719" s="46"/>
    </row>
    <row r="720" spans="12:12" ht="12.75" x14ac:dyDescent="0.2">
      <c r="L720" s="46"/>
    </row>
    <row r="721" spans="12:12" ht="12.75" x14ac:dyDescent="0.2">
      <c r="L721" s="46"/>
    </row>
    <row r="722" spans="12:12" ht="12.75" x14ac:dyDescent="0.2">
      <c r="L722" s="46"/>
    </row>
    <row r="723" spans="12:12" ht="12.75" x14ac:dyDescent="0.2">
      <c r="L723" s="46"/>
    </row>
    <row r="724" spans="12:12" ht="12.75" x14ac:dyDescent="0.2">
      <c r="L724" s="46"/>
    </row>
    <row r="725" spans="12:12" ht="12.75" x14ac:dyDescent="0.2">
      <c r="L725" s="46"/>
    </row>
    <row r="726" spans="12:12" ht="12.75" x14ac:dyDescent="0.2">
      <c r="L726" s="46"/>
    </row>
    <row r="727" spans="12:12" ht="12.75" x14ac:dyDescent="0.2">
      <c r="L727" s="46"/>
    </row>
    <row r="728" spans="12:12" ht="12.75" x14ac:dyDescent="0.2">
      <c r="L728" s="46"/>
    </row>
    <row r="729" spans="12:12" ht="12.75" x14ac:dyDescent="0.2">
      <c r="L729" s="46"/>
    </row>
    <row r="730" spans="12:12" ht="12.75" x14ac:dyDescent="0.2">
      <c r="L730" s="46"/>
    </row>
    <row r="731" spans="12:12" ht="12.75" x14ac:dyDescent="0.2">
      <c r="L731" s="46"/>
    </row>
    <row r="732" spans="12:12" ht="12.75" x14ac:dyDescent="0.2">
      <c r="L732" s="46"/>
    </row>
    <row r="733" spans="12:12" ht="12.75" x14ac:dyDescent="0.2">
      <c r="L733" s="46"/>
    </row>
    <row r="734" spans="12:12" ht="12.75" x14ac:dyDescent="0.2">
      <c r="L734" s="46"/>
    </row>
    <row r="735" spans="12:12" ht="12.75" x14ac:dyDescent="0.2">
      <c r="L735" s="46"/>
    </row>
    <row r="736" spans="12:12" ht="12.75" x14ac:dyDescent="0.2">
      <c r="L736" s="46"/>
    </row>
    <row r="737" spans="12:12" ht="12.75" x14ac:dyDescent="0.2">
      <c r="L737" s="46"/>
    </row>
    <row r="738" spans="12:12" ht="12.75" x14ac:dyDescent="0.2">
      <c r="L738" s="46"/>
    </row>
    <row r="739" spans="12:12" ht="12.75" x14ac:dyDescent="0.2">
      <c r="L739" s="46"/>
    </row>
    <row r="740" spans="12:12" ht="12.75" x14ac:dyDescent="0.2">
      <c r="L740" s="46"/>
    </row>
    <row r="741" spans="12:12" ht="12.75" x14ac:dyDescent="0.2">
      <c r="L741" s="46"/>
    </row>
    <row r="742" spans="12:12" ht="12.75" x14ac:dyDescent="0.2">
      <c r="L742" s="46"/>
    </row>
    <row r="743" spans="12:12" ht="12.75" x14ac:dyDescent="0.2">
      <c r="L743" s="46"/>
    </row>
    <row r="744" spans="12:12" ht="12.75" x14ac:dyDescent="0.2">
      <c r="L744" s="46"/>
    </row>
    <row r="745" spans="12:12" ht="12.75" x14ac:dyDescent="0.2">
      <c r="L745" s="46"/>
    </row>
    <row r="746" spans="12:12" ht="12.75" x14ac:dyDescent="0.2">
      <c r="L746" s="46"/>
    </row>
    <row r="747" spans="12:12" ht="12.75" x14ac:dyDescent="0.2">
      <c r="L747" s="46"/>
    </row>
    <row r="748" spans="12:12" ht="12.75" x14ac:dyDescent="0.2">
      <c r="L748" s="46"/>
    </row>
    <row r="749" spans="12:12" ht="12.75" x14ac:dyDescent="0.2">
      <c r="L749" s="46"/>
    </row>
    <row r="750" spans="12:12" ht="12.75" x14ac:dyDescent="0.2">
      <c r="L750" s="46"/>
    </row>
    <row r="751" spans="12:12" ht="12.75" x14ac:dyDescent="0.2">
      <c r="L751" s="46"/>
    </row>
    <row r="752" spans="12:12" ht="12.75" x14ac:dyDescent="0.2">
      <c r="L752" s="46"/>
    </row>
    <row r="753" spans="12:12" ht="12.75" x14ac:dyDescent="0.2">
      <c r="L753" s="46"/>
    </row>
    <row r="754" spans="12:12" ht="12.75" x14ac:dyDescent="0.2">
      <c r="L754" s="46"/>
    </row>
    <row r="755" spans="12:12" ht="12.75" x14ac:dyDescent="0.2">
      <c r="L755" s="46"/>
    </row>
    <row r="756" spans="12:12" ht="12.75" x14ac:dyDescent="0.2">
      <c r="L756" s="46"/>
    </row>
    <row r="757" spans="12:12" ht="12.75" x14ac:dyDescent="0.2">
      <c r="L757" s="46"/>
    </row>
    <row r="758" spans="12:12" ht="12.75" x14ac:dyDescent="0.2">
      <c r="L758" s="46"/>
    </row>
    <row r="759" spans="12:12" ht="12.75" x14ac:dyDescent="0.2">
      <c r="L759" s="46"/>
    </row>
    <row r="760" spans="12:12" ht="12.75" x14ac:dyDescent="0.2">
      <c r="L760" s="46"/>
    </row>
    <row r="761" spans="12:12" ht="12.75" x14ac:dyDescent="0.2">
      <c r="L761" s="46"/>
    </row>
    <row r="762" spans="12:12" ht="12.75" x14ac:dyDescent="0.2">
      <c r="L762" s="46"/>
    </row>
    <row r="763" spans="12:12" ht="12.75" x14ac:dyDescent="0.2">
      <c r="L763" s="46"/>
    </row>
    <row r="764" spans="12:12" ht="12.75" x14ac:dyDescent="0.2">
      <c r="L764" s="46"/>
    </row>
    <row r="765" spans="12:12" ht="12.75" x14ac:dyDescent="0.2">
      <c r="L765" s="46"/>
    </row>
    <row r="766" spans="12:12" ht="12.75" x14ac:dyDescent="0.2">
      <c r="L766" s="46"/>
    </row>
    <row r="767" spans="12:12" ht="12.75" x14ac:dyDescent="0.2">
      <c r="L767" s="46"/>
    </row>
    <row r="768" spans="12:12" ht="12.75" x14ac:dyDescent="0.2">
      <c r="L768" s="46"/>
    </row>
    <row r="769" spans="12:12" ht="12.75" x14ac:dyDescent="0.2">
      <c r="L769" s="46"/>
    </row>
    <row r="770" spans="12:12" ht="12.75" x14ac:dyDescent="0.2">
      <c r="L770" s="46"/>
    </row>
    <row r="771" spans="12:12" ht="12.75" x14ac:dyDescent="0.2">
      <c r="L771" s="46"/>
    </row>
    <row r="772" spans="12:12" ht="12.75" x14ac:dyDescent="0.2">
      <c r="L772" s="46"/>
    </row>
    <row r="773" spans="12:12" ht="12.75" x14ac:dyDescent="0.2">
      <c r="L773" s="46"/>
    </row>
    <row r="774" spans="12:12" ht="12.75" x14ac:dyDescent="0.2">
      <c r="L774" s="46"/>
    </row>
    <row r="775" spans="12:12" ht="12.75" x14ac:dyDescent="0.2">
      <c r="L775" s="46"/>
    </row>
    <row r="776" spans="12:12" ht="12.75" x14ac:dyDescent="0.2">
      <c r="L776" s="46"/>
    </row>
    <row r="777" spans="12:12" ht="12.75" x14ac:dyDescent="0.2">
      <c r="L777" s="46"/>
    </row>
    <row r="778" spans="12:12" ht="12.75" x14ac:dyDescent="0.2">
      <c r="L778" s="46"/>
    </row>
    <row r="779" spans="12:12" ht="12.75" x14ac:dyDescent="0.2">
      <c r="L779" s="46"/>
    </row>
    <row r="780" spans="12:12" ht="12.75" x14ac:dyDescent="0.2">
      <c r="L780" s="46"/>
    </row>
    <row r="781" spans="12:12" ht="12.75" x14ac:dyDescent="0.2">
      <c r="L781" s="46"/>
    </row>
    <row r="782" spans="12:12" ht="12.75" x14ac:dyDescent="0.2">
      <c r="L782" s="46"/>
    </row>
    <row r="783" spans="12:12" ht="12.75" x14ac:dyDescent="0.2">
      <c r="L783" s="46"/>
    </row>
    <row r="784" spans="12:12" ht="12.75" x14ac:dyDescent="0.2">
      <c r="L784" s="46"/>
    </row>
    <row r="785" spans="12:12" ht="12.75" x14ac:dyDescent="0.2">
      <c r="L785" s="46"/>
    </row>
    <row r="786" spans="12:12" ht="12.75" x14ac:dyDescent="0.2">
      <c r="L786" s="46"/>
    </row>
    <row r="787" spans="12:12" ht="12.75" x14ac:dyDescent="0.2">
      <c r="L787" s="46"/>
    </row>
    <row r="788" spans="12:12" ht="12.75" x14ac:dyDescent="0.2">
      <c r="L788" s="46"/>
    </row>
    <row r="789" spans="12:12" ht="12.75" x14ac:dyDescent="0.2">
      <c r="L789" s="46"/>
    </row>
    <row r="790" spans="12:12" ht="12.75" x14ac:dyDescent="0.2">
      <c r="L790" s="46"/>
    </row>
    <row r="791" spans="12:12" ht="12.75" x14ac:dyDescent="0.2">
      <c r="L791" s="46"/>
    </row>
    <row r="792" spans="12:12" ht="12.75" x14ac:dyDescent="0.2">
      <c r="L792" s="46"/>
    </row>
    <row r="793" spans="12:12" ht="12.75" x14ac:dyDescent="0.2">
      <c r="L793" s="46"/>
    </row>
    <row r="794" spans="12:12" ht="12.75" x14ac:dyDescent="0.2">
      <c r="L794" s="46"/>
    </row>
    <row r="795" spans="12:12" ht="12.75" x14ac:dyDescent="0.2">
      <c r="L795" s="46"/>
    </row>
    <row r="796" spans="12:12" ht="12.75" x14ac:dyDescent="0.2">
      <c r="L796" s="46"/>
    </row>
    <row r="797" spans="12:12" ht="12.75" x14ac:dyDescent="0.2">
      <c r="L797" s="46"/>
    </row>
    <row r="798" spans="12:12" ht="12.75" x14ac:dyDescent="0.2">
      <c r="L798" s="46"/>
    </row>
    <row r="799" spans="12:12" ht="12.75" x14ac:dyDescent="0.2">
      <c r="L799" s="46"/>
    </row>
    <row r="800" spans="12:12" ht="12.75" x14ac:dyDescent="0.2">
      <c r="L800" s="46"/>
    </row>
    <row r="801" spans="12:12" ht="12.75" x14ac:dyDescent="0.2">
      <c r="L801" s="46"/>
    </row>
    <row r="802" spans="12:12" ht="12.75" x14ac:dyDescent="0.2">
      <c r="L802" s="46"/>
    </row>
    <row r="803" spans="12:12" ht="12.75" x14ac:dyDescent="0.2">
      <c r="L803" s="46"/>
    </row>
    <row r="804" spans="12:12" ht="12.75" x14ac:dyDescent="0.2">
      <c r="L804" s="46"/>
    </row>
    <row r="805" spans="12:12" ht="12.75" x14ac:dyDescent="0.2">
      <c r="L805" s="46"/>
    </row>
    <row r="806" spans="12:12" ht="12.75" x14ac:dyDescent="0.2">
      <c r="L806" s="46"/>
    </row>
    <row r="807" spans="12:12" ht="12.75" x14ac:dyDescent="0.2">
      <c r="L807" s="46"/>
    </row>
    <row r="808" spans="12:12" ht="12.75" x14ac:dyDescent="0.2">
      <c r="L808" s="46"/>
    </row>
    <row r="809" spans="12:12" ht="12.75" x14ac:dyDescent="0.2">
      <c r="L809" s="46"/>
    </row>
    <row r="810" spans="12:12" ht="12.75" x14ac:dyDescent="0.2">
      <c r="L810" s="46"/>
    </row>
    <row r="811" spans="12:12" ht="12.75" x14ac:dyDescent="0.2">
      <c r="L811" s="46"/>
    </row>
    <row r="812" spans="12:12" ht="12.75" x14ac:dyDescent="0.2">
      <c r="L812" s="46"/>
    </row>
    <row r="813" spans="12:12" ht="12.75" x14ac:dyDescent="0.2">
      <c r="L813" s="46"/>
    </row>
    <row r="814" spans="12:12" ht="12.75" x14ac:dyDescent="0.2">
      <c r="L814" s="46"/>
    </row>
    <row r="815" spans="12:12" ht="12.75" x14ac:dyDescent="0.2">
      <c r="L815" s="46"/>
    </row>
    <row r="816" spans="12:12" ht="12.75" x14ac:dyDescent="0.2">
      <c r="L816" s="46"/>
    </row>
    <row r="817" spans="12:12" ht="12.75" x14ac:dyDescent="0.2">
      <c r="L817" s="46"/>
    </row>
    <row r="818" spans="12:12" ht="12.75" x14ac:dyDescent="0.2">
      <c r="L818" s="46"/>
    </row>
    <row r="819" spans="12:12" ht="12.75" x14ac:dyDescent="0.2">
      <c r="L819" s="46"/>
    </row>
    <row r="820" spans="12:12" ht="12.75" x14ac:dyDescent="0.2">
      <c r="L820" s="46"/>
    </row>
    <row r="821" spans="12:12" ht="12.75" x14ac:dyDescent="0.2">
      <c r="L821" s="46"/>
    </row>
    <row r="822" spans="12:12" ht="12.75" x14ac:dyDescent="0.2">
      <c r="L822" s="46"/>
    </row>
    <row r="823" spans="12:12" ht="12.75" x14ac:dyDescent="0.2">
      <c r="L823" s="46"/>
    </row>
    <row r="824" spans="12:12" ht="12.75" x14ac:dyDescent="0.2">
      <c r="L824" s="46"/>
    </row>
    <row r="825" spans="12:12" ht="12.75" x14ac:dyDescent="0.2">
      <c r="L825" s="46"/>
    </row>
    <row r="826" spans="12:12" ht="12.75" x14ac:dyDescent="0.2">
      <c r="L826" s="46"/>
    </row>
    <row r="827" spans="12:12" ht="12.75" x14ac:dyDescent="0.2">
      <c r="L827" s="46"/>
    </row>
    <row r="828" spans="12:12" ht="12.75" x14ac:dyDescent="0.2">
      <c r="L828" s="46"/>
    </row>
    <row r="829" spans="12:12" ht="12.75" x14ac:dyDescent="0.2">
      <c r="L829" s="46"/>
    </row>
    <row r="830" spans="12:12" ht="12.75" x14ac:dyDescent="0.2">
      <c r="L830" s="46"/>
    </row>
    <row r="831" spans="12:12" ht="12.75" x14ac:dyDescent="0.2">
      <c r="L831" s="46"/>
    </row>
    <row r="832" spans="12:12" ht="12.75" x14ac:dyDescent="0.2">
      <c r="L832" s="46"/>
    </row>
    <row r="833" spans="12:12" ht="12.75" x14ac:dyDescent="0.2">
      <c r="L833" s="46"/>
    </row>
    <row r="834" spans="12:12" ht="12.75" x14ac:dyDescent="0.2">
      <c r="L834" s="46"/>
    </row>
    <row r="835" spans="12:12" ht="12.75" x14ac:dyDescent="0.2">
      <c r="L835" s="46"/>
    </row>
    <row r="836" spans="12:12" ht="12.75" x14ac:dyDescent="0.2">
      <c r="L836" s="46"/>
    </row>
    <row r="837" spans="12:12" ht="12.75" x14ac:dyDescent="0.2">
      <c r="L837" s="46"/>
    </row>
    <row r="838" spans="12:12" ht="12.75" x14ac:dyDescent="0.2">
      <c r="L838" s="46"/>
    </row>
    <row r="839" spans="12:12" ht="12.75" x14ac:dyDescent="0.2">
      <c r="L839" s="46"/>
    </row>
    <row r="840" spans="12:12" ht="12.75" x14ac:dyDescent="0.2">
      <c r="L840" s="46"/>
    </row>
    <row r="841" spans="12:12" ht="12.75" x14ac:dyDescent="0.2">
      <c r="L841" s="46"/>
    </row>
    <row r="842" spans="12:12" ht="12.75" x14ac:dyDescent="0.2">
      <c r="L842" s="46"/>
    </row>
    <row r="843" spans="12:12" ht="12.75" x14ac:dyDescent="0.2">
      <c r="L843" s="46"/>
    </row>
    <row r="844" spans="12:12" ht="12.75" x14ac:dyDescent="0.2">
      <c r="L844" s="46"/>
    </row>
    <row r="845" spans="12:12" ht="12.75" x14ac:dyDescent="0.2">
      <c r="L845" s="46"/>
    </row>
    <row r="846" spans="12:12" ht="12.75" x14ac:dyDescent="0.2">
      <c r="L846" s="46"/>
    </row>
    <row r="847" spans="12:12" ht="12.75" x14ac:dyDescent="0.2">
      <c r="L847" s="46"/>
    </row>
    <row r="848" spans="12:12" ht="12.75" x14ac:dyDescent="0.2">
      <c r="L848" s="46"/>
    </row>
    <row r="849" spans="12:12" ht="12.75" x14ac:dyDescent="0.2">
      <c r="L849" s="46"/>
    </row>
    <row r="850" spans="12:12" ht="12.75" x14ac:dyDescent="0.2">
      <c r="L850" s="46"/>
    </row>
    <row r="851" spans="12:12" ht="12.75" x14ac:dyDescent="0.2">
      <c r="L851" s="46"/>
    </row>
    <row r="852" spans="12:12" ht="12.75" x14ac:dyDescent="0.2">
      <c r="L852" s="46"/>
    </row>
    <row r="853" spans="12:12" ht="12.75" x14ac:dyDescent="0.2">
      <c r="L853" s="46"/>
    </row>
    <row r="854" spans="12:12" ht="12.75" x14ac:dyDescent="0.2">
      <c r="L854" s="46"/>
    </row>
    <row r="855" spans="12:12" ht="12.75" x14ac:dyDescent="0.2">
      <c r="L855" s="46"/>
    </row>
    <row r="856" spans="12:12" ht="12.75" x14ac:dyDescent="0.2">
      <c r="L856" s="46"/>
    </row>
    <row r="857" spans="12:12" ht="12.75" x14ac:dyDescent="0.2">
      <c r="L857" s="46"/>
    </row>
    <row r="858" spans="12:12" ht="12.75" x14ac:dyDescent="0.2">
      <c r="L858" s="46"/>
    </row>
    <row r="859" spans="12:12" ht="12.75" x14ac:dyDescent="0.2">
      <c r="L859" s="46"/>
    </row>
    <row r="860" spans="12:12" ht="12.75" x14ac:dyDescent="0.2">
      <c r="L860" s="46"/>
    </row>
    <row r="861" spans="12:12" ht="12.75" x14ac:dyDescent="0.2">
      <c r="L861" s="46"/>
    </row>
    <row r="862" spans="12:12" ht="12.75" x14ac:dyDescent="0.2">
      <c r="L862" s="46"/>
    </row>
    <row r="863" spans="12:12" ht="12.75" x14ac:dyDescent="0.2">
      <c r="L863" s="46"/>
    </row>
    <row r="864" spans="12:12" ht="12.75" x14ac:dyDescent="0.2">
      <c r="L864" s="46"/>
    </row>
    <row r="865" spans="12:12" ht="12.75" x14ac:dyDescent="0.2">
      <c r="L865" s="46"/>
    </row>
    <row r="866" spans="12:12" ht="12.75" x14ac:dyDescent="0.2">
      <c r="L866" s="46"/>
    </row>
    <row r="867" spans="12:12" ht="12.75" x14ac:dyDescent="0.2">
      <c r="L867" s="46"/>
    </row>
    <row r="868" spans="12:12" ht="12.75" x14ac:dyDescent="0.2">
      <c r="L868" s="46"/>
    </row>
    <row r="869" spans="12:12" ht="12.75" x14ac:dyDescent="0.2">
      <c r="L869" s="46"/>
    </row>
    <row r="870" spans="12:12" ht="12.75" x14ac:dyDescent="0.2">
      <c r="L870" s="46"/>
    </row>
    <row r="871" spans="12:12" ht="12.75" x14ac:dyDescent="0.2">
      <c r="L871" s="46"/>
    </row>
    <row r="872" spans="12:12" ht="12.75" x14ac:dyDescent="0.2">
      <c r="L872" s="46"/>
    </row>
    <row r="873" spans="12:12" ht="12.75" x14ac:dyDescent="0.2">
      <c r="L873" s="46"/>
    </row>
    <row r="874" spans="12:12" ht="12.75" x14ac:dyDescent="0.2">
      <c r="L874" s="46"/>
    </row>
    <row r="875" spans="12:12" ht="12.75" x14ac:dyDescent="0.2">
      <c r="L875" s="46"/>
    </row>
    <row r="876" spans="12:12" ht="12.75" x14ac:dyDescent="0.2">
      <c r="L876" s="46"/>
    </row>
    <row r="877" spans="12:12" ht="12.75" x14ac:dyDescent="0.2">
      <c r="L877" s="46"/>
    </row>
    <row r="878" spans="12:12" ht="12.75" x14ac:dyDescent="0.2">
      <c r="L878" s="46"/>
    </row>
    <row r="879" spans="12:12" ht="12.75" x14ac:dyDescent="0.2">
      <c r="L879" s="46"/>
    </row>
    <row r="880" spans="12:12" ht="12.75" x14ac:dyDescent="0.2">
      <c r="L880" s="46"/>
    </row>
    <row r="881" spans="12:12" ht="12.75" x14ac:dyDescent="0.2">
      <c r="L881" s="46"/>
    </row>
    <row r="882" spans="12:12" ht="12.75" x14ac:dyDescent="0.2">
      <c r="L882" s="46"/>
    </row>
    <row r="883" spans="12:12" ht="12.75" x14ac:dyDescent="0.2">
      <c r="L883" s="46"/>
    </row>
    <row r="884" spans="12:12" ht="12.75" x14ac:dyDescent="0.2">
      <c r="L884" s="46"/>
    </row>
    <row r="885" spans="12:12" ht="12.75" x14ac:dyDescent="0.2">
      <c r="L885" s="46"/>
    </row>
    <row r="886" spans="12:12" ht="12.75" x14ac:dyDescent="0.2">
      <c r="L886" s="46"/>
    </row>
    <row r="887" spans="12:12" ht="12.75" x14ac:dyDescent="0.2">
      <c r="L887" s="46"/>
    </row>
    <row r="888" spans="12:12" ht="12.75" x14ac:dyDescent="0.2">
      <c r="L888" s="46"/>
    </row>
    <row r="889" spans="12:12" ht="12.75" x14ac:dyDescent="0.2">
      <c r="L889" s="46"/>
    </row>
    <row r="890" spans="12:12" ht="12.75" x14ac:dyDescent="0.2">
      <c r="L890" s="46"/>
    </row>
    <row r="891" spans="12:12" ht="12.75" x14ac:dyDescent="0.2">
      <c r="L891" s="46"/>
    </row>
    <row r="892" spans="12:12" ht="12.75" x14ac:dyDescent="0.2">
      <c r="L892" s="46"/>
    </row>
    <row r="893" spans="12:12" ht="12.75" x14ac:dyDescent="0.2">
      <c r="L893" s="46"/>
    </row>
    <row r="894" spans="12:12" ht="12.75" x14ac:dyDescent="0.2">
      <c r="L894" s="46"/>
    </row>
    <row r="895" spans="12:12" ht="12.75" x14ac:dyDescent="0.2">
      <c r="L895" s="46"/>
    </row>
    <row r="896" spans="12:12" ht="12.75" x14ac:dyDescent="0.2">
      <c r="L896" s="46"/>
    </row>
    <row r="897" spans="12:12" ht="12.75" x14ac:dyDescent="0.2">
      <c r="L897" s="46"/>
    </row>
    <row r="898" spans="12:12" ht="12.75" x14ac:dyDescent="0.2">
      <c r="L898" s="46"/>
    </row>
    <row r="899" spans="12:12" ht="12.75" x14ac:dyDescent="0.2">
      <c r="L899" s="46"/>
    </row>
    <row r="900" spans="12:12" ht="12.75" x14ac:dyDescent="0.2">
      <c r="L900" s="46"/>
    </row>
    <row r="901" spans="12:12" ht="12.75" x14ac:dyDescent="0.2">
      <c r="L901" s="46"/>
    </row>
    <row r="902" spans="12:12" ht="12.75" x14ac:dyDescent="0.2">
      <c r="L902" s="46"/>
    </row>
    <row r="903" spans="12:12" ht="12.75" x14ac:dyDescent="0.2">
      <c r="L903" s="46"/>
    </row>
    <row r="904" spans="12:12" ht="12.75" x14ac:dyDescent="0.2">
      <c r="L904" s="46"/>
    </row>
    <row r="905" spans="12:12" ht="12.75" x14ac:dyDescent="0.2">
      <c r="L905" s="46"/>
    </row>
    <row r="906" spans="12:12" ht="12.75" x14ac:dyDescent="0.2">
      <c r="L906" s="46"/>
    </row>
    <row r="907" spans="12:12" ht="12.75" x14ac:dyDescent="0.2">
      <c r="L907" s="46"/>
    </row>
    <row r="908" spans="12:12" ht="12.75" x14ac:dyDescent="0.2">
      <c r="L908" s="46"/>
    </row>
    <row r="909" spans="12:12" ht="12.75" x14ac:dyDescent="0.2">
      <c r="L909" s="46"/>
    </row>
    <row r="910" spans="12:12" ht="12.75" x14ac:dyDescent="0.2">
      <c r="L910" s="46"/>
    </row>
    <row r="911" spans="12:12" ht="12.75" x14ac:dyDescent="0.2">
      <c r="L911" s="46"/>
    </row>
    <row r="912" spans="12:12" ht="12.75" x14ac:dyDescent="0.2">
      <c r="L912" s="46"/>
    </row>
    <row r="913" spans="12:12" ht="12.75" x14ac:dyDescent="0.2">
      <c r="L913" s="46"/>
    </row>
    <row r="914" spans="12:12" ht="12.75" x14ac:dyDescent="0.2">
      <c r="L914" s="46"/>
    </row>
    <row r="915" spans="12:12" ht="12.75" x14ac:dyDescent="0.2">
      <c r="L915" s="46"/>
    </row>
    <row r="916" spans="12:12" ht="12.75" x14ac:dyDescent="0.2">
      <c r="L916" s="46"/>
    </row>
    <row r="917" spans="12:12" ht="12.75" x14ac:dyDescent="0.2">
      <c r="L917" s="46"/>
    </row>
    <row r="918" spans="12:12" ht="12.75" x14ac:dyDescent="0.2">
      <c r="L918" s="46"/>
    </row>
    <row r="919" spans="12:12" ht="12.75" x14ac:dyDescent="0.2">
      <c r="L919" s="46"/>
    </row>
    <row r="920" spans="12:12" ht="12.75" x14ac:dyDescent="0.2">
      <c r="L920" s="46"/>
    </row>
    <row r="921" spans="12:12" ht="12.75" x14ac:dyDescent="0.2">
      <c r="L921" s="46"/>
    </row>
    <row r="922" spans="12:12" ht="12.75" x14ac:dyDescent="0.2">
      <c r="L922" s="46"/>
    </row>
    <row r="923" spans="12:12" ht="12.75" x14ac:dyDescent="0.2">
      <c r="L923" s="46"/>
    </row>
    <row r="924" spans="12:12" ht="12.75" x14ac:dyDescent="0.2">
      <c r="L924" s="46"/>
    </row>
    <row r="925" spans="12:12" ht="12.75" x14ac:dyDescent="0.2">
      <c r="L925" s="46"/>
    </row>
    <row r="926" spans="12:12" ht="12.75" x14ac:dyDescent="0.2">
      <c r="L926" s="46"/>
    </row>
    <row r="927" spans="12:12" ht="12.75" x14ac:dyDescent="0.2">
      <c r="L927" s="46"/>
    </row>
    <row r="928" spans="12:12" ht="12.75" x14ac:dyDescent="0.2">
      <c r="L928" s="46"/>
    </row>
    <row r="929" spans="12:12" ht="12.75" x14ac:dyDescent="0.2">
      <c r="L929" s="46"/>
    </row>
    <row r="930" spans="12:12" ht="12.75" x14ac:dyDescent="0.2">
      <c r="L930" s="46"/>
    </row>
    <row r="931" spans="12:12" ht="12.75" x14ac:dyDescent="0.2">
      <c r="L931" s="46"/>
    </row>
    <row r="932" spans="12:12" ht="12.75" x14ac:dyDescent="0.2">
      <c r="L932" s="46"/>
    </row>
    <row r="933" spans="12:12" ht="12.75" x14ac:dyDescent="0.2">
      <c r="L933" s="46"/>
    </row>
    <row r="934" spans="12:12" ht="12.75" x14ac:dyDescent="0.2">
      <c r="L934" s="46"/>
    </row>
    <row r="935" spans="12:12" ht="12.75" x14ac:dyDescent="0.2">
      <c r="L935" s="46"/>
    </row>
    <row r="936" spans="12:12" ht="12.75" x14ac:dyDescent="0.2">
      <c r="L936" s="46"/>
    </row>
    <row r="937" spans="12:12" ht="12.75" x14ac:dyDescent="0.2">
      <c r="L937" s="46"/>
    </row>
    <row r="938" spans="12:12" ht="12.75" x14ac:dyDescent="0.2">
      <c r="L938" s="46"/>
    </row>
    <row r="939" spans="12:12" ht="12.75" x14ac:dyDescent="0.2">
      <c r="L939" s="46"/>
    </row>
    <row r="940" spans="12:12" ht="12.75" x14ac:dyDescent="0.2">
      <c r="L940" s="46"/>
    </row>
    <row r="941" spans="12:12" ht="12.75" x14ac:dyDescent="0.2">
      <c r="L941" s="46"/>
    </row>
    <row r="942" spans="12:12" ht="12.75" x14ac:dyDescent="0.2">
      <c r="L942" s="46"/>
    </row>
    <row r="943" spans="12:12" ht="12.75" x14ac:dyDescent="0.2">
      <c r="L943" s="46"/>
    </row>
    <row r="944" spans="12:12" ht="12.75" x14ac:dyDescent="0.2">
      <c r="L944" s="46"/>
    </row>
    <row r="945" spans="12:12" ht="12.75" x14ac:dyDescent="0.2">
      <c r="L945" s="46"/>
    </row>
    <row r="946" spans="12:12" ht="12.75" x14ac:dyDescent="0.2">
      <c r="L946" s="46"/>
    </row>
    <row r="947" spans="12:12" ht="12.75" x14ac:dyDescent="0.2">
      <c r="L947" s="46"/>
    </row>
    <row r="948" spans="12:12" ht="12.75" x14ac:dyDescent="0.2">
      <c r="L948" s="46"/>
    </row>
    <row r="949" spans="12:12" ht="12.75" x14ac:dyDescent="0.2">
      <c r="L949" s="46"/>
    </row>
    <row r="950" spans="12:12" ht="12.75" x14ac:dyDescent="0.2">
      <c r="L950" s="46"/>
    </row>
    <row r="951" spans="12:12" ht="12.75" x14ac:dyDescent="0.2">
      <c r="L951" s="46"/>
    </row>
    <row r="952" spans="12:12" ht="12.75" x14ac:dyDescent="0.2">
      <c r="L952" s="46"/>
    </row>
    <row r="953" spans="12:12" ht="12.75" x14ac:dyDescent="0.2">
      <c r="L953" s="46"/>
    </row>
    <row r="954" spans="12:12" ht="12.75" x14ac:dyDescent="0.2">
      <c r="L954" s="46"/>
    </row>
    <row r="955" spans="12:12" ht="12.75" x14ac:dyDescent="0.2">
      <c r="L955" s="46"/>
    </row>
    <row r="956" spans="12:12" ht="12.75" x14ac:dyDescent="0.2">
      <c r="L956" s="46"/>
    </row>
    <row r="957" spans="12:12" ht="12.75" x14ac:dyDescent="0.2">
      <c r="L957" s="46"/>
    </row>
    <row r="958" spans="12:12" ht="12.75" x14ac:dyDescent="0.2">
      <c r="L958" s="46"/>
    </row>
    <row r="959" spans="12:12" ht="12.75" x14ac:dyDescent="0.2">
      <c r="L959" s="46"/>
    </row>
    <row r="960" spans="12:12" ht="12.75" x14ac:dyDescent="0.2">
      <c r="L960" s="46"/>
    </row>
    <row r="961" spans="12:12" ht="12.75" x14ac:dyDescent="0.2">
      <c r="L961" s="46"/>
    </row>
    <row r="962" spans="12:12" ht="12.75" x14ac:dyDescent="0.2">
      <c r="L962" s="46"/>
    </row>
    <row r="963" spans="12:12" ht="12.75" x14ac:dyDescent="0.2">
      <c r="L963" s="46"/>
    </row>
    <row r="964" spans="12:12" ht="12.75" x14ac:dyDescent="0.2">
      <c r="L964" s="46"/>
    </row>
    <row r="965" spans="12:12" ht="12.75" x14ac:dyDescent="0.2">
      <c r="L965" s="46"/>
    </row>
    <row r="966" spans="12:12" ht="12.75" x14ac:dyDescent="0.2">
      <c r="L966" s="46"/>
    </row>
    <row r="967" spans="12:12" ht="12.75" x14ac:dyDescent="0.2">
      <c r="L967" s="46"/>
    </row>
    <row r="968" spans="12:12" ht="12.75" x14ac:dyDescent="0.2">
      <c r="L968" s="46"/>
    </row>
    <row r="969" spans="12:12" ht="12.75" x14ac:dyDescent="0.2">
      <c r="L969" s="46"/>
    </row>
    <row r="970" spans="12:12" ht="12.75" x14ac:dyDescent="0.2">
      <c r="L970" s="46"/>
    </row>
    <row r="971" spans="12:12" ht="12.75" x14ac:dyDescent="0.2">
      <c r="L971" s="46"/>
    </row>
    <row r="972" spans="12:12" ht="12.75" x14ac:dyDescent="0.2">
      <c r="L972" s="46"/>
    </row>
    <row r="973" spans="12:12" ht="12.75" x14ac:dyDescent="0.2">
      <c r="L973" s="46"/>
    </row>
    <row r="974" spans="12:12" ht="12.75" x14ac:dyDescent="0.2">
      <c r="L974" s="46"/>
    </row>
    <row r="975" spans="12:12" ht="12.75" x14ac:dyDescent="0.2">
      <c r="L975" s="46"/>
    </row>
    <row r="976" spans="12:12" ht="12.75" x14ac:dyDescent="0.2">
      <c r="L976" s="46"/>
    </row>
    <row r="977" spans="12:12" ht="12.75" x14ac:dyDescent="0.2">
      <c r="L977" s="46"/>
    </row>
    <row r="978" spans="12:12" ht="12.75" x14ac:dyDescent="0.2">
      <c r="L978" s="46"/>
    </row>
    <row r="979" spans="12:12" ht="12.75" x14ac:dyDescent="0.2">
      <c r="L979" s="46"/>
    </row>
    <row r="980" spans="12:12" ht="12.75" x14ac:dyDescent="0.2">
      <c r="L980" s="46"/>
    </row>
    <row r="981" spans="12:12" ht="12.75" x14ac:dyDescent="0.2">
      <c r="L981" s="46"/>
    </row>
    <row r="982" spans="12:12" ht="12.75" x14ac:dyDescent="0.2">
      <c r="L982" s="46"/>
    </row>
    <row r="983" spans="12:12" ht="12.75" x14ac:dyDescent="0.2">
      <c r="L983" s="46"/>
    </row>
    <row r="984" spans="12:12" ht="12.75" x14ac:dyDescent="0.2">
      <c r="L984" s="46"/>
    </row>
    <row r="985" spans="12:12" ht="12.75" x14ac:dyDescent="0.2">
      <c r="L985" s="46"/>
    </row>
    <row r="986" spans="12:12" ht="12.75" x14ac:dyDescent="0.2">
      <c r="L986" s="46"/>
    </row>
    <row r="987" spans="12:12" ht="12.75" x14ac:dyDescent="0.2">
      <c r="L987" s="46"/>
    </row>
    <row r="988" spans="12:12" ht="12.75" x14ac:dyDescent="0.2">
      <c r="L988" s="46"/>
    </row>
    <row r="989" spans="12:12" ht="12.75" x14ac:dyDescent="0.2">
      <c r="L989" s="46"/>
    </row>
    <row r="990" spans="12:12" ht="12.75" x14ac:dyDescent="0.2">
      <c r="L990" s="46"/>
    </row>
    <row r="991" spans="12:12" ht="12.75" x14ac:dyDescent="0.2">
      <c r="L991" s="46"/>
    </row>
    <row r="992" spans="12:12" ht="12.75" x14ac:dyDescent="0.2">
      <c r="L992" s="46"/>
    </row>
    <row r="993" spans="12:12" ht="12.75" x14ac:dyDescent="0.2">
      <c r="L993" s="46"/>
    </row>
    <row r="994" spans="12:12" ht="12.75" x14ac:dyDescent="0.2">
      <c r="L994" s="46"/>
    </row>
    <row r="995" spans="12:12" ht="12.75" x14ac:dyDescent="0.2">
      <c r="L995" s="46"/>
    </row>
    <row r="996" spans="12:12" ht="12.75" x14ac:dyDescent="0.2">
      <c r="L996" s="46"/>
    </row>
    <row r="997" spans="12:12" ht="12.75" x14ac:dyDescent="0.2">
      <c r="L997" s="46"/>
    </row>
    <row r="998" spans="12:12" ht="12.75" x14ac:dyDescent="0.2">
      <c r="L998" s="46"/>
    </row>
    <row r="999" spans="12:12" ht="12.75" x14ac:dyDescent="0.2">
      <c r="L999" s="46"/>
    </row>
    <row r="1000" spans="12:12" ht="12.75" x14ac:dyDescent="0.2">
      <c r="L1000" s="46"/>
    </row>
  </sheetData>
  <mergeCells count="5">
    <mergeCell ref="A3:A4"/>
    <mergeCell ref="B3:B4"/>
    <mergeCell ref="C3:C4"/>
    <mergeCell ref="D3:D4"/>
    <mergeCell ref="E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E823"/>
  <sheetViews>
    <sheetView workbookViewId="0"/>
  </sheetViews>
  <sheetFormatPr defaultColWidth="12.5703125" defaultRowHeight="15.75" customHeight="1" x14ac:dyDescent="0.2"/>
  <cols>
    <col min="1" max="1" width="8.42578125" customWidth="1"/>
    <col min="2" max="2" width="5.140625" customWidth="1"/>
    <col min="3" max="3" width="26.42578125" customWidth="1"/>
    <col min="4" max="10" width="9.42578125" customWidth="1"/>
    <col min="11" max="11" width="6.42578125" customWidth="1"/>
    <col min="12" max="12" width="10.42578125" customWidth="1"/>
    <col min="13" max="13" width="29.28515625" customWidth="1"/>
  </cols>
  <sheetData>
    <row r="1" spans="1:31" x14ac:dyDescent="0.2">
      <c r="A1" s="50" t="str">
        <f ca="1">IFERROR(__xludf.DUMMYFUNCTION("importrange(""https://docs.google.com/spreadsheets/d/1KKqqDn6Ly35H9gRIJt-1ggjZCnmVqhqG46dHMRGkFOw/edit#gid=556949398"",""Rekap!A1:I162"")"),"NIM")</f>
        <v>NIM</v>
      </c>
      <c r="B1" s="50" t="str">
        <f ca="1">IFERROR(__xludf.DUMMYFUNCTION("""COMPUTED_VALUE"""),"Kelas")</f>
        <v>Kelas</v>
      </c>
      <c r="C1" s="50" t="str">
        <f ca="1">IFERROR(__xludf.DUMMYFUNCTION("""COMPUTED_VALUE"""),"Nama")</f>
        <v>Nama</v>
      </c>
      <c r="D1" s="76" t="str">
        <f ca="1">IFERROR(__xludf.DUMMYFUNCTION("""COMPUTED_VALUE"""),"Tucil")</f>
        <v>Tucil</v>
      </c>
      <c r="E1" s="60"/>
      <c r="F1" s="60"/>
      <c r="G1" s="76" t="str">
        <f ca="1">IFERROR(__xludf.DUMMYFUNCTION("""COMPUTED_VALUE"""),"Tubes")</f>
        <v>Tubes</v>
      </c>
      <c r="H1" s="60"/>
      <c r="I1" s="60"/>
      <c r="J1" s="2"/>
      <c r="K1" s="2" t="s">
        <v>7</v>
      </c>
      <c r="L1" s="2">
        <f t="shared" ref="L1:L3" ca="1" si="0">COUNTIF($B$3:$B$161,$K1)</f>
        <v>65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">
      <c r="A2" s="2"/>
      <c r="B2" s="2"/>
      <c r="C2" s="2"/>
      <c r="D2" s="51" t="str">
        <f ca="1">IFERROR(__xludf.DUMMYFUNCTION("""COMPUTED_VALUE"""),"Tucil 1")</f>
        <v>Tucil 1</v>
      </c>
      <c r="E2" s="51" t="str">
        <f ca="1">IFERROR(__xludf.DUMMYFUNCTION("""COMPUTED_VALUE"""),"Tucil 2")</f>
        <v>Tucil 2</v>
      </c>
      <c r="F2" s="51" t="str">
        <f ca="1">IFERROR(__xludf.DUMMYFUNCTION("""COMPUTED_VALUE"""),"Tucil 3")</f>
        <v>Tucil 3</v>
      </c>
      <c r="G2" s="51" t="str">
        <f ca="1">IFERROR(__xludf.DUMMYFUNCTION("""COMPUTED_VALUE"""),"Tubes 1")</f>
        <v>Tubes 1</v>
      </c>
      <c r="H2" s="51" t="str">
        <f ca="1">IFERROR(__xludf.DUMMYFUNCTION("""COMPUTED_VALUE"""),"Tubes 2")</f>
        <v>Tubes 2</v>
      </c>
      <c r="I2" s="51" t="str">
        <f ca="1">IFERROR(__xludf.DUMMYFUNCTION("""COMPUTED_VALUE"""),"Tubes 3")</f>
        <v>Tubes 3</v>
      </c>
      <c r="J2" s="2"/>
      <c r="K2" s="2" t="s">
        <v>8</v>
      </c>
      <c r="L2" s="2">
        <f t="shared" ca="1" si="0"/>
        <v>65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2">
        <f ca="1">IFERROR(__xludf.DUMMYFUNCTION("""COMPUTED_VALUE"""),13521041)</f>
        <v>13521041</v>
      </c>
      <c r="B3" s="2" t="str">
        <f ca="1">IFERROR(__xludf.DUMMYFUNCTION("""COMPUTED_VALUE"""),"K1")</f>
        <v>K1</v>
      </c>
      <c r="C3" s="2" t="str">
        <f ca="1">IFERROR(__xludf.DUMMYFUNCTION("""COMPUTED_VALUE"""),"Muhammad Hanan")</f>
        <v>Muhammad Hanan</v>
      </c>
      <c r="D3" s="52">
        <f ca="1">IFERROR(__xludf.DUMMYFUNCTION("""COMPUTED_VALUE"""),92)</f>
        <v>92</v>
      </c>
      <c r="E3" s="52">
        <f ca="1">IFERROR(__xludf.DUMMYFUNCTION("""COMPUTED_VALUE"""),115)</f>
        <v>115</v>
      </c>
      <c r="F3" s="52">
        <f ca="1">IFERROR(__xludf.DUMMYFUNCTION("""COMPUTED_VALUE"""),100)</f>
        <v>100</v>
      </c>
      <c r="G3" s="52">
        <f ca="1">IFERROR(__xludf.DUMMYFUNCTION("""COMPUTED_VALUE"""),107)</f>
        <v>107</v>
      </c>
      <c r="H3" s="52">
        <f ca="1">IFERROR(__xludf.DUMMYFUNCTION("""COMPUTED_VALUE"""),109)</f>
        <v>109</v>
      </c>
      <c r="I3" s="52">
        <f ca="1">IFERROR(__xludf.DUMMYFUNCTION("""COMPUTED_VALUE"""),102.5)</f>
        <v>102.5</v>
      </c>
      <c r="J3" s="2"/>
      <c r="K3" s="2" t="s">
        <v>9</v>
      </c>
      <c r="L3" s="2">
        <f t="shared" ca="1" si="0"/>
        <v>29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">
      <c r="A4" s="2">
        <f ca="1">IFERROR(__xludf.DUMMYFUNCTION("""COMPUTED_VALUE"""),13521043)</f>
        <v>13521043</v>
      </c>
      <c r="B4" s="2" t="str">
        <f ca="1">IFERROR(__xludf.DUMMYFUNCTION("""COMPUTED_VALUE"""),"K1")</f>
        <v>K1</v>
      </c>
      <c r="C4" s="2" t="str">
        <f ca="1">IFERROR(__xludf.DUMMYFUNCTION("""COMPUTED_VALUE"""),"Nigel Sahl")</f>
        <v>Nigel Sahl</v>
      </c>
      <c r="D4" s="52">
        <f ca="1">IFERROR(__xludf.DUMMYFUNCTION("""COMPUTED_VALUE"""),79)</f>
        <v>79</v>
      </c>
      <c r="E4" s="52">
        <f ca="1">IFERROR(__xludf.DUMMYFUNCTION("""COMPUTED_VALUE"""),105)</f>
        <v>105</v>
      </c>
      <c r="F4" s="52">
        <f ca="1">IFERROR(__xludf.DUMMYFUNCTION("""COMPUTED_VALUE"""),105)</f>
        <v>105</v>
      </c>
      <c r="G4" s="52">
        <f ca="1">IFERROR(__xludf.DUMMYFUNCTION("""COMPUTED_VALUE"""),99)</f>
        <v>99</v>
      </c>
      <c r="H4" s="52">
        <f ca="1">IFERROR(__xludf.DUMMYFUNCTION("""COMPUTED_VALUE"""),104.5)</f>
        <v>104.5</v>
      </c>
      <c r="I4" s="52">
        <f ca="1">IFERROR(__xludf.DUMMYFUNCTION("""COMPUTED_VALUE"""),97)</f>
        <v>97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">
      <c r="A5" s="2">
        <f ca="1">IFERROR(__xludf.DUMMYFUNCTION("""COMPUTED_VALUE"""),13521045)</f>
        <v>13521045</v>
      </c>
      <c r="B5" s="2" t="str">
        <f ca="1">IFERROR(__xludf.DUMMYFUNCTION("""COMPUTED_VALUE"""),"K1")</f>
        <v>K1</v>
      </c>
      <c r="C5" s="2" t="str">
        <f ca="1">IFERROR(__xludf.DUMMYFUNCTION("""COMPUTED_VALUE"""),"Fakhri Muhammad Mahendra")</f>
        <v>Fakhri Muhammad Mahendra</v>
      </c>
      <c r="D5" s="52">
        <f ca="1">IFERROR(__xludf.DUMMYFUNCTION("""COMPUTED_VALUE"""),92)</f>
        <v>92</v>
      </c>
      <c r="E5" s="52">
        <f ca="1">IFERROR(__xludf.DUMMYFUNCTION("""COMPUTED_VALUE"""),114)</f>
        <v>114</v>
      </c>
      <c r="F5" s="52">
        <f ca="1">IFERROR(__xludf.DUMMYFUNCTION("""COMPUTED_VALUE"""),100)</f>
        <v>100</v>
      </c>
      <c r="G5" s="52">
        <f ca="1">IFERROR(__xludf.DUMMYFUNCTION("""COMPUTED_VALUE"""),107)</f>
        <v>107</v>
      </c>
      <c r="H5" s="52">
        <f ca="1">IFERROR(__xludf.DUMMYFUNCTION("""COMPUTED_VALUE"""),105.5)</f>
        <v>105.5</v>
      </c>
      <c r="I5" s="52">
        <f ca="1">IFERROR(__xludf.DUMMYFUNCTION("""COMPUTED_VALUE"""),102)</f>
        <v>102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">
      <c r="A6" s="2">
        <f ca="1">IFERROR(__xludf.DUMMYFUNCTION("""COMPUTED_VALUE"""),13521047)</f>
        <v>13521047</v>
      </c>
      <c r="B6" s="2" t="str">
        <f ca="1">IFERROR(__xludf.DUMMYFUNCTION("""COMPUTED_VALUE"""),"K1")</f>
        <v>K1</v>
      </c>
      <c r="C6" s="2" t="str">
        <f ca="1">IFERROR(__xludf.DUMMYFUNCTION("""COMPUTED_VALUE"""),"Muhammad Equilibrie Fajria")</f>
        <v>Muhammad Equilibrie Fajria</v>
      </c>
      <c r="D6" s="52">
        <f ca="1">IFERROR(__xludf.DUMMYFUNCTION("""COMPUTED_VALUE"""),92)</f>
        <v>92</v>
      </c>
      <c r="E6" s="52">
        <f ca="1">IFERROR(__xludf.DUMMYFUNCTION("""COMPUTED_VALUE"""),99.5)</f>
        <v>99.5</v>
      </c>
      <c r="F6" s="52">
        <f ca="1">IFERROR(__xludf.DUMMYFUNCTION("""COMPUTED_VALUE"""),110)</f>
        <v>110</v>
      </c>
      <c r="G6" s="52">
        <f ca="1">IFERROR(__xludf.DUMMYFUNCTION("""COMPUTED_VALUE"""),105)</f>
        <v>105</v>
      </c>
      <c r="H6" s="52">
        <f ca="1">IFERROR(__xludf.DUMMYFUNCTION("""COMPUTED_VALUE"""),112)</f>
        <v>112</v>
      </c>
      <c r="I6" s="52">
        <f ca="1">IFERROR(__xludf.DUMMYFUNCTION("""COMPUTED_VALUE"""),103)</f>
        <v>103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2">
      <c r="A7" s="2">
        <f ca="1">IFERROR(__xludf.DUMMYFUNCTION("""COMPUTED_VALUE"""),13521049)</f>
        <v>13521049</v>
      </c>
      <c r="B7" s="2" t="str">
        <f ca="1">IFERROR(__xludf.DUMMYFUNCTION("""COMPUTED_VALUE"""),"K1")</f>
        <v>K1</v>
      </c>
      <c r="C7" s="2" t="str">
        <f ca="1">IFERROR(__xludf.DUMMYFUNCTION("""COMPUTED_VALUE"""),"Brian Kheng")</f>
        <v>Brian Kheng</v>
      </c>
      <c r="D7" s="52">
        <f ca="1">IFERROR(__xludf.DUMMYFUNCTION("""COMPUTED_VALUE"""),92)</f>
        <v>92</v>
      </c>
      <c r="E7" s="52">
        <f ca="1">IFERROR(__xludf.DUMMYFUNCTION("""COMPUTED_VALUE"""),115)</f>
        <v>115</v>
      </c>
      <c r="F7" s="52">
        <f ca="1">IFERROR(__xludf.DUMMYFUNCTION("""COMPUTED_VALUE"""),110)</f>
        <v>110</v>
      </c>
      <c r="G7" s="52">
        <f ca="1">IFERROR(__xludf.DUMMYFUNCTION("""COMPUTED_VALUE"""),108)</f>
        <v>108</v>
      </c>
      <c r="H7" s="52">
        <f ca="1">IFERROR(__xludf.DUMMYFUNCTION("""COMPUTED_VALUE"""),111)</f>
        <v>111</v>
      </c>
      <c r="I7" s="52">
        <f ca="1">IFERROR(__xludf.DUMMYFUNCTION("""COMPUTED_VALUE"""),103.5)</f>
        <v>103.5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">
      <c r="A8" s="2">
        <f ca="1">IFERROR(__xludf.DUMMYFUNCTION("""COMPUTED_VALUE"""),13521051)</f>
        <v>13521051</v>
      </c>
      <c r="B8" s="2" t="str">
        <f ca="1">IFERROR(__xludf.DUMMYFUNCTION("""COMPUTED_VALUE"""),"K1")</f>
        <v>K1</v>
      </c>
      <c r="C8" s="2" t="str">
        <f ca="1">IFERROR(__xludf.DUMMYFUNCTION("""COMPUTED_VALUE"""),"Manuella Ivana Uli Sianipar")</f>
        <v>Manuella Ivana Uli Sianipar</v>
      </c>
      <c r="D8" s="52">
        <f ca="1">IFERROR(__xludf.DUMMYFUNCTION("""COMPUTED_VALUE"""),88.5)</f>
        <v>88.5</v>
      </c>
      <c r="E8" s="52">
        <f ca="1">IFERROR(__xludf.DUMMYFUNCTION("""COMPUTED_VALUE"""),115)</f>
        <v>115</v>
      </c>
      <c r="F8" s="52">
        <f ca="1">IFERROR(__xludf.DUMMYFUNCTION("""COMPUTED_VALUE"""),100)</f>
        <v>100</v>
      </c>
      <c r="G8" s="52">
        <f ca="1">IFERROR(__xludf.DUMMYFUNCTION("""COMPUTED_VALUE"""),99)</f>
        <v>99</v>
      </c>
      <c r="H8" s="52">
        <f ca="1">IFERROR(__xludf.DUMMYFUNCTION("""COMPUTED_VALUE"""),110)</f>
        <v>110</v>
      </c>
      <c r="I8" s="52">
        <f ca="1">IFERROR(__xludf.DUMMYFUNCTION("""COMPUTED_VALUE"""),50)</f>
        <v>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2">
      <c r="A9" s="2">
        <f ca="1">IFERROR(__xludf.DUMMYFUNCTION("""COMPUTED_VALUE"""),13521053)</f>
        <v>13521053</v>
      </c>
      <c r="B9" s="2" t="str">
        <f ca="1">IFERROR(__xludf.DUMMYFUNCTION("""COMPUTED_VALUE"""),"K1")</f>
        <v>K1</v>
      </c>
      <c r="C9" s="2" t="str">
        <f ca="1">IFERROR(__xludf.DUMMYFUNCTION("""COMPUTED_VALUE"""),"Athif Nirwasito")</f>
        <v>Athif Nirwasito</v>
      </c>
      <c r="D9" s="52">
        <f ca="1">IFERROR(__xludf.DUMMYFUNCTION("""COMPUTED_VALUE"""),95)</f>
        <v>95</v>
      </c>
      <c r="E9" s="52">
        <f ca="1">IFERROR(__xludf.DUMMYFUNCTION("""COMPUTED_VALUE"""),105)</f>
        <v>105</v>
      </c>
      <c r="F9" s="52">
        <f ca="1">IFERROR(__xludf.DUMMYFUNCTION("""COMPUTED_VALUE"""),110)</f>
        <v>110</v>
      </c>
      <c r="G9" s="52">
        <f ca="1">IFERROR(__xludf.DUMMYFUNCTION("""COMPUTED_VALUE"""),104)</f>
        <v>104</v>
      </c>
      <c r="H9" s="52">
        <f ca="1">IFERROR(__xludf.DUMMYFUNCTION("""COMPUTED_VALUE"""),102)</f>
        <v>102</v>
      </c>
      <c r="I9" s="52">
        <f ca="1">IFERROR(__xludf.DUMMYFUNCTION("""COMPUTED_VALUE"""),50)</f>
        <v>50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x14ac:dyDescent="0.2">
      <c r="A10" s="2">
        <f ca="1">IFERROR(__xludf.DUMMYFUNCTION("""COMPUTED_VALUE"""),13521055)</f>
        <v>13521055</v>
      </c>
      <c r="B10" s="2" t="str">
        <f ca="1">IFERROR(__xludf.DUMMYFUNCTION("""COMPUTED_VALUE"""),"K1")</f>
        <v>K1</v>
      </c>
      <c r="C10" s="2" t="str">
        <f ca="1">IFERROR(__xludf.DUMMYFUNCTION("""COMPUTED_VALUE"""),"Muhammad Bangkit Dwi Cahyono")</f>
        <v>Muhammad Bangkit Dwi Cahyono</v>
      </c>
      <c r="D10" s="52">
        <f ca="1">IFERROR(__xludf.DUMMYFUNCTION("""COMPUTED_VALUE"""),102)</f>
        <v>102</v>
      </c>
      <c r="E10" s="52">
        <f ca="1">IFERROR(__xludf.DUMMYFUNCTION("""COMPUTED_VALUE"""),113)</f>
        <v>113</v>
      </c>
      <c r="F10" s="52">
        <f ca="1">IFERROR(__xludf.DUMMYFUNCTION("""COMPUTED_VALUE"""),110)</f>
        <v>110</v>
      </c>
      <c r="G10" s="52">
        <f ca="1">IFERROR(__xludf.DUMMYFUNCTION("""COMPUTED_VALUE"""),105)</f>
        <v>105</v>
      </c>
      <c r="H10" s="52">
        <f ca="1">IFERROR(__xludf.DUMMYFUNCTION("""COMPUTED_VALUE"""),115)</f>
        <v>115</v>
      </c>
      <c r="I10" s="52">
        <f ca="1">IFERROR(__xludf.DUMMYFUNCTION("""COMPUTED_VALUE"""),108)</f>
        <v>108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">
      <c r="A11" s="2">
        <f ca="1">IFERROR(__xludf.DUMMYFUNCTION("""COMPUTED_VALUE"""),13521057)</f>
        <v>13521057</v>
      </c>
      <c r="B11" s="2" t="str">
        <f ca="1">IFERROR(__xludf.DUMMYFUNCTION("""COMPUTED_VALUE"""),"K1")</f>
        <v>K1</v>
      </c>
      <c r="C11" s="2" t="str">
        <f ca="1">IFERROR(__xludf.DUMMYFUNCTION("""COMPUTED_VALUE"""),"Hosea Nathanael Abetnego")</f>
        <v>Hosea Nathanael Abetnego</v>
      </c>
      <c r="D11" s="52">
        <f ca="1">IFERROR(__xludf.DUMMYFUNCTION("""COMPUTED_VALUE"""),90.5)</f>
        <v>90.5</v>
      </c>
      <c r="E11" s="52">
        <f ca="1">IFERROR(__xludf.DUMMYFUNCTION("""COMPUTED_VALUE"""),111)</f>
        <v>111</v>
      </c>
      <c r="F11" s="52">
        <f ca="1">IFERROR(__xludf.DUMMYFUNCTION("""COMPUTED_VALUE"""),105)</f>
        <v>105</v>
      </c>
      <c r="G11" s="52">
        <f ca="1">IFERROR(__xludf.DUMMYFUNCTION("""COMPUTED_VALUE"""),99)</f>
        <v>99</v>
      </c>
      <c r="H11" s="52">
        <f ca="1">IFERROR(__xludf.DUMMYFUNCTION("""COMPUTED_VALUE"""),102.5)</f>
        <v>102.5</v>
      </c>
      <c r="I11" s="52">
        <f ca="1">IFERROR(__xludf.DUMMYFUNCTION("""COMPUTED_VALUE"""),102)</f>
        <v>102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2">
      <c r="A12" s="2">
        <f ca="1">IFERROR(__xludf.DUMMYFUNCTION("""COMPUTED_VALUE"""),13521059)</f>
        <v>13521059</v>
      </c>
      <c r="B12" s="2" t="str">
        <f ca="1">IFERROR(__xludf.DUMMYFUNCTION("""COMPUTED_VALUE"""),"K1")</f>
        <v>K1</v>
      </c>
      <c r="C12" s="2" t="str">
        <f ca="1">IFERROR(__xludf.DUMMYFUNCTION("""COMPUTED_VALUE"""),"Arleen Chrysantha Gunardi")</f>
        <v>Arleen Chrysantha Gunardi</v>
      </c>
      <c r="D12" s="52">
        <f ca="1">IFERROR(__xludf.DUMMYFUNCTION("""COMPUTED_VALUE"""),94.5)</f>
        <v>94.5</v>
      </c>
      <c r="E12" s="52">
        <f ca="1">IFERROR(__xludf.DUMMYFUNCTION("""COMPUTED_VALUE"""),114)</f>
        <v>114</v>
      </c>
      <c r="F12" s="52">
        <f ca="1">IFERROR(__xludf.DUMMYFUNCTION("""COMPUTED_VALUE"""),100)</f>
        <v>100</v>
      </c>
      <c r="G12" s="52">
        <f ca="1">IFERROR(__xludf.DUMMYFUNCTION("""COMPUTED_VALUE"""),108)</f>
        <v>108</v>
      </c>
      <c r="H12" s="52">
        <f ca="1">IFERROR(__xludf.DUMMYFUNCTION("""COMPUTED_VALUE"""),111)</f>
        <v>111</v>
      </c>
      <c r="I12" s="52">
        <f ca="1">IFERROR(__xludf.DUMMYFUNCTION("""COMPUTED_VALUE"""),95.5)</f>
        <v>95.5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">
      <c r="A13" s="2">
        <f ca="1">IFERROR(__xludf.DUMMYFUNCTION("""COMPUTED_VALUE"""),13521061)</f>
        <v>13521061</v>
      </c>
      <c r="B13" s="2" t="str">
        <f ca="1">IFERROR(__xludf.DUMMYFUNCTION("""COMPUTED_VALUE"""),"K1")</f>
        <v>K1</v>
      </c>
      <c r="C13" s="2" t="str">
        <f ca="1">IFERROR(__xludf.DUMMYFUNCTION("""COMPUTED_VALUE"""),"Alex Sander")</f>
        <v>Alex Sander</v>
      </c>
      <c r="D13" s="52">
        <f ca="1">IFERROR(__xludf.DUMMYFUNCTION("""COMPUTED_VALUE"""),87)</f>
        <v>87</v>
      </c>
      <c r="E13" s="52">
        <f ca="1">IFERROR(__xludf.DUMMYFUNCTION("""COMPUTED_VALUE"""),99.5)</f>
        <v>99.5</v>
      </c>
      <c r="F13" s="52">
        <f ca="1">IFERROR(__xludf.DUMMYFUNCTION("""COMPUTED_VALUE"""),90)</f>
        <v>90</v>
      </c>
      <c r="G13" s="52">
        <f ca="1">IFERROR(__xludf.DUMMYFUNCTION("""COMPUTED_VALUE"""),107)</f>
        <v>107</v>
      </c>
      <c r="H13" s="52">
        <f ca="1">IFERROR(__xludf.DUMMYFUNCTION("""COMPUTED_VALUE"""),108)</f>
        <v>108</v>
      </c>
      <c r="I13" s="52">
        <f ca="1">IFERROR(__xludf.DUMMYFUNCTION("""COMPUTED_VALUE"""),82)</f>
        <v>82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">
      <c r="A14" s="2">
        <f ca="1">IFERROR(__xludf.DUMMYFUNCTION("""COMPUTED_VALUE"""),13521063)</f>
        <v>13521063</v>
      </c>
      <c r="B14" s="2" t="str">
        <f ca="1">IFERROR(__xludf.DUMMYFUNCTION("""COMPUTED_VALUE"""),"K1")</f>
        <v>K1</v>
      </c>
      <c r="C14" s="2" t="str">
        <f ca="1">IFERROR(__xludf.DUMMYFUNCTION("""COMPUTED_VALUE"""),"Salomo Reinhart Gregory Manalu")</f>
        <v>Salomo Reinhart Gregory Manalu</v>
      </c>
      <c r="D14" s="52">
        <f ca="1">IFERROR(__xludf.DUMMYFUNCTION("""COMPUTED_VALUE"""),45)</f>
        <v>45</v>
      </c>
      <c r="E14" s="52">
        <f ca="1">IFERROR(__xludf.DUMMYFUNCTION("""COMPUTED_VALUE"""),114)</f>
        <v>114</v>
      </c>
      <c r="F14" s="52">
        <f ca="1">IFERROR(__xludf.DUMMYFUNCTION("""COMPUTED_VALUE"""),105)</f>
        <v>105</v>
      </c>
      <c r="G14" s="52">
        <f ca="1">IFERROR(__xludf.DUMMYFUNCTION("""COMPUTED_VALUE"""),106)</f>
        <v>106</v>
      </c>
      <c r="H14" s="52">
        <f ca="1">IFERROR(__xludf.DUMMYFUNCTION("""COMPUTED_VALUE"""),107)</f>
        <v>107</v>
      </c>
      <c r="I14" s="52">
        <f ca="1">IFERROR(__xludf.DUMMYFUNCTION("""COMPUTED_VALUE"""),100)</f>
        <v>100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">
      <c r="A15" s="2">
        <f ca="1">IFERROR(__xludf.DUMMYFUNCTION("""COMPUTED_VALUE"""),13521065)</f>
        <v>13521065</v>
      </c>
      <c r="B15" s="2" t="str">
        <f ca="1">IFERROR(__xludf.DUMMYFUNCTION("""COMPUTED_VALUE"""),"K1")</f>
        <v>K1</v>
      </c>
      <c r="C15" s="2" t="str">
        <f ca="1">IFERROR(__xludf.DUMMYFUNCTION("""COMPUTED_VALUE"""),"Mutawally Nawwar")</f>
        <v>Mutawally Nawwar</v>
      </c>
      <c r="D15" s="52">
        <f ca="1">IFERROR(__xludf.DUMMYFUNCTION("""COMPUTED_VALUE"""),94)</f>
        <v>94</v>
      </c>
      <c r="E15" s="52">
        <f ca="1">IFERROR(__xludf.DUMMYFUNCTION("""COMPUTED_VALUE"""),113)</f>
        <v>113</v>
      </c>
      <c r="F15" s="52">
        <f ca="1">IFERROR(__xludf.DUMMYFUNCTION("""COMPUTED_VALUE"""),107)</f>
        <v>107</v>
      </c>
      <c r="G15" s="52">
        <f ca="1">IFERROR(__xludf.DUMMYFUNCTION("""COMPUTED_VALUE"""),98)</f>
        <v>98</v>
      </c>
      <c r="H15" s="52">
        <f ca="1">IFERROR(__xludf.DUMMYFUNCTION("""COMPUTED_VALUE"""),109)</f>
        <v>109</v>
      </c>
      <c r="I15" s="52">
        <f ca="1">IFERROR(__xludf.DUMMYFUNCTION("""COMPUTED_VALUE"""),105.5)</f>
        <v>105.5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x14ac:dyDescent="0.2">
      <c r="A16" s="2">
        <f ca="1">IFERROR(__xludf.DUMMYFUNCTION("""COMPUTED_VALUE"""),13521067)</f>
        <v>13521067</v>
      </c>
      <c r="B16" s="2" t="str">
        <f ca="1">IFERROR(__xludf.DUMMYFUNCTION("""COMPUTED_VALUE"""),"K1")</f>
        <v>K1</v>
      </c>
      <c r="C16" s="2" t="str">
        <f ca="1">IFERROR(__xludf.DUMMYFUNCTION("""COMPUTED_VALUE"""),"Yobel Dean Christopher")</f>
        <v>Yobel Dean Christopher</v>
      </c>
      <c r="D16" s="52">
        <f ca="1">IFERROR(__xludf.DUMMYFUNCTION("""COMPUTED_VALUE"""),79)</f>
        <v>79</v>
      </c>
      <c r="E16" s="52">
        <f ca="1">IFERROR(__xludf.DUMMYFUNCTION("""COMPUTED_VALUE"""),115)</f>
        <v>115</v>
      </c>
      <c r="F16" s="52">
        <f ca="1">IFERROR(__xludf.DUMMYFUNCTION("""COMPUTED_VALUE"""),90)</f>
        <v>90</v>
      </c>
      <c r="G16" s="52">
        <f ca="1">IFERROR(__xludf.DUMMYFUNCTION("""COMPUTED_VALUE"""),103)</f>
        <v>103</v>
      </c>
      <c r="H16" s="52">
        <f ca="1">IFERROR(__xludf.DUMMYFUNCTION("""COMPUTED_VALUE"""),113)</f>
        <v>113</v>
      </c>
      <c r="I16" s="52">
        <f ca="1">IFERROR(__xludf.DUMMYFUNCTION("""COMPUTED_VALUE"""),98)</f>
        <v>98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x14ac:dyDescent="0.2">
      <c r="A17" s="2">
        <f ca="1">IFERROR(__xludf.DUMMYFUNCTION("""COMPUTED_VALUE"""),13521069)</f>
        <v>13521069</v>
      </c>
      <c r="B17" s="2" t="str">
        <f ca="1">IFERROR(__xludf.DUMMYFUNCTION("""COMPUTED_VALUE"""),"K1")</f>
        <v>K1</v>
      </c>
      <c r="C17" s="2" t="str">
        <f ca="1">IFERROR(__xludf.DUMMYFUNCTION("""COMPUTED_VALUE"""),"Louis Caesa Kesuma")</f>
        <v>Louis Caesa Kesuma</v>
      </c>
      <c r="D17" s="52">
        <f ca="1">IFERROR(__xludf.DUMMYFUNCTION("""COMPUTED_VALUE"""),74)</f>
        <v>74</v>
      </c>
      <c r="E17" s="52">
        <f ca="1">IFERROR(__xludf.DUMMYFUNCTION("""COMPUTED_VALUE"""),115)</f>
        <v>115</v>
      </c>
      <c r="F17" s="52">
        <f ca="1">IFERROR(__xludf.DUMMYFUNCTION("""COMPUTED_VALUE"""),110)</f>
        <v>110</v>
      </c>
      <c r="G17" s="52">
        <f ca="1">IFERROR(__xludf.DUMMYFUNCTION("""COMPUTED_VALUE"""),104)</f>
        <v>104</v>
      </c>
      <c r="H17" s="52">
        <f ca="1">IFERROR(__xludf.DUMMYFUNCTION("""COMPUTED_VALUE"""),115)</f>
        <v>115</v>
      </c>
      <c r="I17" s="52">
        <f ca="1">IFERROR(__xludf.DUMMYFUNCTION("""COMPUTED_VALUE"""),100)</f>
        <v>100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x14ac:dyDescent="0.2">
      <c r="A18" s="2">
        <f ca="1">IFERROR(__xludf.DUMMYFUNCTION("""COMPUTED_VALUE"""),13521071)</f>
        <v>13521071</v>
      </c>
      <c r="B18" s="2" t="str">
        <f ca="1">IFERROR(__xludf.DUMMYFUNCTION("""COMPUTED_VALUE"""),"K1")</f>
        <v>K1</v>
      </c>
      <c r="C18" s="2" t="str">
        <f ca="1">IFERROR(__xludf.DUMMYFUNCTION("""COMPUTED_VALUE"""),"Margaretha Olivia Haryono")</f>
        <v>Margaretha Olivia Haryono</v>
      </c>
      <c r="D18" s="52">
        <f ca="1">IFERROR(__xludf.DUMMYFUNCTION("""COMPUTED_VALUE"""),94.5)</f>
        <v>94.5</v>
      </c>
      <c r="E18" s="52">
        <f ca="1">IFERROR(__xludf.DUMMYFUNCTION("""COMPUTED_VALUE"""),113)</f>
        <v>113</v>
      </c>
      <c r="F18" s="52">
        <f ca="1">IFERROR(__xludf.DUMMYFUNCTION("""COMPUTED_VALUE"""),107)</f>
        <v>107</v>
      </c>
      <c r="G18" s="52">
        <f ca="1">IFERROR(__xludf.DUMMYFUNCTION("""COMPUTED_VALUE"""),105)</f>
        <v>105</v>
      </c>
      <c r="H18" s="52">
        <f ca="1">IFERROR(__xludf.DUMMYFUNCTION("""COMPUTED_VALUE"""),107)</f>
        <v>107</v>
      </c>
      <c r="I18" s="52">
        <f ca="1">IFERROR(__xludf.DUMMYFUNCTION("""COMPUTED_VALUE"""),107)</f>
        <v>107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2">
      <c r="A19" s="2">
        <f ca="1">IFERROR(__xludf.DUMMYFUNCTION("""COMPUTED_VALUE"""),13521073)</f>
        <v>13521073</v>
      </c>
      <c r="B19" s="2" t="str">
        <f ca="1">IFERROR(__xludf.DUMMYFUNCTION("""COMPUTED_VALUE"""),"K1")</f>
        <v>K1</v>
      </c>
      <c r="C19" s="2" t="str">
        <f ca="1">IFERROR(__xludf.DUMMYFUNCTION("""COMPUTED_VALUE"""),"Ezra M C M H")</f>
        <v>Ezra M C M H</v>
      </c>
      <c r="D19" s="52">
        <f ca="1">IFERROR(__xludf.DUMMYFUNCTION("""COMPUTED_VALUE"""),33)</f>
        <v>33</v>
      </c>
      <c r="E19" s="52">
        <f ca="1">IFERROR(__xludf.DUMMYFUNCTION("""COMPUTED_VALUE"""),95)</f>
        <v>95</v>
      </c>
      <c r="F19" s="52">
        <f ca="1">IFERROR(__xludf.DUMMYFUNCTION("""COMPUTED_VALUE"""),61)</f>
        <v>61</v>
      </c>
      <c r="G19" s="52">
        <f ca="1">IFERROR(__xludf.DUMMYFUNCTION("""COMPUTED_VALUE"""),97)</f>
        <v>97</v>
      </c>
      <c r="H19" s="52">
        <f ca="1">IFERROR(__xludf.DUMMYFUNCTION("""COMPUTED_VALUE"""),101.5)</f>
        <v>101.5</v>
      </c>
      <c r="I19" s="52">
        <f ca="1">IFERROR(__xludf.DUMMYFUNCTION("""COMPUTED_VALUE"""),95)</f>
        <v>95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">
      <c r="A20" s="2">
        <f ca="1">IFERROR(__xludf.DUMMYFUNCTION("""COMPUTED_VALUE"""),13521075)</f>
        <v>13521075</v>
      </c>
      <c r="B20" s="2" t="str">
        <f ca="1">IFERROR(__xludf.DUMMYFUNCTION("""COMPUTED_VALUE"""),"K1")</f>
        <v>K1</v>
      </c>
      <c r="C20" s="2" t="str">
        <f ca="1">IFERROR(__xludf.DUMMYFUNCTION("""COMPUTED_VALUE"""),"Muhammad Rifko Favian")</f>
        <v>Muhammad Rifko Favian</v>
      </c>
      <c r="D20" s="52">
        <f ca="1">IFERROR(__xludf.DUMMYFUNCTION("""COMPUTED_VALUE"""),98)</f>
        <v>98</v>
      </c>
      <c r="E20" s="52">
        <f ca="1">IFERROR(__xludf.DUMMYFUNCTION("""COMPUTED_VALUE"""),104.5)</f>
        <v>104.5</v>
      </c>
      <c r="F20" s="52">
        <f ca="1">IFERROR(__xludf.DUMMYFUNCTION("""COMPUTED_VALUE"""),104)</f>
        <v>104</v>
      </c>
      <c r="G20" s="52">
        <f ca="1">IFERROR(__xludf.DUMMYFUNCTION("""COMPUTED_VALUE"""),100)</f>
        <v>100</v>
      </c>
      <c r="H20" s="52">
        <f ca="1">IFERROR(__xludf.DUMMYFUNCTION("""COMPUTED_VALUE"""),109)</f>
        <v>109</v>
      </c>
      <c r="I20" s="52">
        <f ca="1">IFERROR(__xludf.DUMMYFUNCTION("""COMPUTED_VALUE"""),103.5)</f>
        <v>103.5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">
      <c r="A21" s="2">
        <f ca="1">IFERROR(__xludf.DUMMYFUNCTION("""COMPUTED_VALUE"""),13521077)</f>
        <v>13521077</v>
      </c>
      <c r="B21" s="2" t="str">
        <f ca="1">IFERROR(__xludf.DUMMYFUNCTION("""COMPUTED_VALUE"""),"K1")</f>
        <v>K1</v>
      </c>
      <c r="C21" s="2" t="str">
        <f ca="1">IFERROR(__xludf.DUMMYFUNCTION("""COMPUTED_VALUE"""),"Husnia Munzayana")</f>
        <v>Husnia Munzayana</v>
      </c>
      <c r="D21" s="52">
        <f ca="1">IFERROR(__xludf.DUMMYFUNCTION("""COMPUTED_VALUE"""),95.5)</f>
        <v>95.5</v>
      </c>
      <c r="E21" s="52">
        <f ca="1">IFERROR(__xludf.DUMMYFUNCTION("""COMPUTED_VALUE"""),115)</f>
        <v>115</v>
      </c>
      <c r="F21" s="52">
        <f ca="1">IFERROR(__xludf.DUMMYFUNCTION("""COMPUTED_VALUE"""),110)</f>
        <v>110</v>
      </c>
      <c r="G21" s="52">
        <f ca="1">IFERROR(__xludf.DUMMYFUNCTION("""COMPUTED_VALUE"""),109)</f>
        <v>109</v>
      </c>
      <c r="H21" s="52">
        <f ca="1">IFERROR(__xludf.DUMMYFUNCTION("""COMPUTED_VALUE"""),109)</f>
        <v>109</v>
      </c>
      <c r="I21" s="52">
        <f ca="1">IFERROR(__xludf.DUMMYFUNCTION("""COMPUTED_VALUE"""),94)</f>
        <v>94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2">
      <c r="A22" s="2">
        <f ca="1">IFERROR(__xludf.DUMMYFUNCTION("""COMPUTED_VALUE"""),13521079)</f>
        <v>13521079</v>
      </c>
      <c r="B22" s="2" t="str">
        <f ca="1">IFERROR(__xludf.DUMMYFUNCTION("""COMPUTED_VALUE"""),"K1")</f>
        <v>K1</v>
      </c>
      <c r="C22" s="2" t="str">
        <f ca="1">IFERROR(__xludf.DUMMYFUNCTION("""COMPUTED_VALUE"""),"Hobert Anthony Jonatan")</f>
        <v>Hobert Anthony Jonatan</v>
      </c>
      <c r="D22" s="52">
        <f ca="1">IFERROR(__xludf.DUMMYFUNCTION("""COMPUTED_VALUE"""),89.5)</f>
        <v>89.5</v>
      </c>
      <c r="E22" s="52">
        <f ca="1">IFERROR(__xludf.DUMMYFUNCTION("""COMPUTED_VALUE"""),113)</f>
        <v>113</v>
      </c>
      <c r="F22" s="52">
        <f ca="1">IFERROR(__xludf.DUMMYFUNCTION("""COMPUTED_VALUE"""),105)</f>
        <v>105</v>
      </c>
      <c r="G22" s="52">
        <f ca="1">IFERROR(__xludf.DUMMYFUNCTION("""COMPUTED_VALUE"""),105)</f>
        <v>105</v>
      </c>
      <c r="H22" s="52">
        <f ca="1">IFERROR(__xludf.DUMMYFUNCTION("""COMPUTED_VALUE"""),87.5)</f>
        <v>87.5</v>
      </c>
      <c r="I22" s="52">
        <f ca="1">IFERROR(__xludf.DUMMYFUNCTION("""COMPUTED_VALUE"""),98)</f>
        <v>98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x14ac:dyDescent="0.2">
      <c r="A23" s="2">
        <f ca="1">IFERROR(__xludf.DUMMYFUNCTION("""COMPUTED_VALUE"""),13521081)</f>
        <v>13521081</v>
      </c>
      <c r="B23" s="2" t="str">
        <f ca="1">IFERROR(__xludf.DUMMYFUNCTION("""COMPUTED_VALUE"""),"K1")</f>
        <v>K1</v>
      </c>
      <c r="C23" s="2" t="str">
        <f ca="1">IFERROR(__xludf.DUMMYFUNCTION("""COMPUTED_VALUE"""),"Bagas Aryo Seto")</f>
        <v>Bagas Aryo Seto</v>
      </c>
      <c r="D23" s="52">
        <f ca="1">IFERROR(__xludf.DUMMYFUNCTION("""COMPUTED_VALUE"""),89.5)</f>
        <v>89.5</v>
      </c>
      <c r="E23" s="52">
        <f ca="1">IFERROR(__xludf.DUMMYFUNCTION("""COMPUTED_VALUE"""),114)</f>
        <v>114</v>
      </c>
      <c r="F23" s="52">
        <f ca="1">IFERROR(__xludf.DUMMYFUNCTION("""COMPUTED_VALUE"""),105)</f>
        <v>105</v>
      </c>
      <c r="G23" s="52">
        <f ca="1">IFERROR(__xludf.DUMMYFUNCTION("""COMPUTED_VALUE"""),109)</f>
        <v>109</v>
      </c>
      <c r="H23" s="52">
        <f ca="1">IFERROR(__xludf.DUMMYFUNCTION("""COMPUTED_VALUE"""),109)</f>
        <v>109</v>
      </c>
      <c r="I23" s="52">
        <f ca="1">IFERROR(__xludf.DUMMYFUNCTION("""COMPUTED_VALUE"""),108)</f>
        <v>108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x14ac:dyDescent="0.2">
      <c r="A24" s="2">
        <f ca="1">IFERROR(__xludf.DUMMYFUNCTION("""COMPUTED_VALUE"""),13521083)</f>
        <v>13521083</v>
      </c>
      <c r="B24" s="2" t="str">
        <f ca="1">IFERROR(__xludf.DUMMYFUNCTION("""COMPUTED_VALUE"""),"K1")</f>
        <v>K1</v>
      </c>
      <c r="C24" s="2" t="str">
        <f ca="1">IFERROR(__xludf.DUMMYFUNCTION("""COMPUTED_VALUE"""),"Moch. Sofyan Firdaus")</f>
        <v>Moch. Sofyan Firdaus</v>
      </c>
      <c r="D24" s="52">
        <f ca="1">IFERROR(__xludf.DUMMYFUNCTION("""COMPUTED_VALUE"""),92.5)</f>
        <v>92.5</v>
      </c>
      <c r="E24" s="52">
        <f ca="1">IFERROR(__xludf.DUMMYFUNCTION("""COMPUTED_VALUE"""),113)</f>
        <v>113</v>
      </c>
      <c r="F24" s="52">
        <f ca="1">IFERROR(__xludf.DUMMYFUNCTION("""COMPUTED_VALUE"""),100)</f>
        <v>100</v>
      </c>
      <c r="G24" s="52">
        <f ca="1">IFERROR(__xludf.DUMMYFUNCTION("""COMPUTED_VALUE"""),100)</f>
        <v>100</v>
      </c>
      <c r="H24" s="52">
        <f ca="1">IFERROR(__xludf.DUMMYFUNCTION("""COMPUTED_VALUE"""),111)</f>
        <v>111</v>
      </c>
      <c r="I24" s="52">
        <f ca="1">IFERROR(__xludf.DUMMYFUNCTION("""COMPUTED_VALUE"""),95)</f>
        <v>95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2">
      <c r="A25" s="2">
        <f ca="1">IFERROR(__xludf.DUMMYFUNCTION("""COMPUTED_VALUE"""),13521085)</f>
        <v>13521085</v>
      </c>
      <c r="B25" s="2" t="str">
        <f ca="1">IFERROR(__xludf.DUMMYFUNCTION("""COMPUTED_VALUE"""),"K1")</f>
        <v>K1</v>
      </c>
      <c r="C25" s="2" t="str">
        <f ca="1">IFERROR(__xludf.DUMMYFUNCTION("""COMPUTED_VALUE"""),"Addin Munawwar Yusuf")</f>
        <v>Addin Munawwar Yusuf</v>
      </c>
      <c r="D25" s="52">
        <f ca="1">IFERROR(__xludf.DUMMYFUNCTION("""COMPUTED_VALUE"""),92)</f>
        <v>92</v>
      </c>
      <c r="E25" s="52">
        <f ca="1">IFERROR(__xludf.DUMMYFUNCTION("""COMPUTED_VALUE"""),115)</f>
        <v>115</v>
      </c>
      <c r="F25" s="52">
        <f ca="1">IFERROR(__xludf.DUMMYFUNCTION("""COMPUTED_VALUE"""),110)</f>
        <v>110</v>
      </c>
      <c r="G25" s="52">
        <f ca="1">IFERROR(__xludf.DUMMYFUNCTION("""COMPUTED_VALUE"""),110)</f>
        <v>110</v>
      </c>
      <c r="H25" s="52">
        <f ca="1">IFERROR(__xludf.DUMMYFUNCTION("""COMPUTED_VALUE"""),115)</f>
        <v>115</v>
      </c>
      <c r="I25" s="52">
        <f ca="1">IFERROR(__xludf.DUMMYFUNCTION("""COMPUTED_VALUE"""),95)</f>
        <v>95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x14ac:dyDescent="0.2">
      <c r="A26" s="2">
        <f ca="1">IFERROR(__xludf.DUMMYFUNCTION("""COMPUTED_VALUE"""),13521087)</f>
        <v>13521087</v>
      </c>
      <c r="B26" s="2" t="str">
        <f ca="1">IFERROR(__xludf.DUMMYFUNCTION("""COMPUTED_VALUE"""),"K1")</f>
        <v>K1</v>
      </c>
      <c r="C26" s="2" t="str">
        <f ca="1">IFERROR(__xludf.DUMMYFUNCTION("""COMPUTED_VALUE"""),"Razzan Daksana Yoni")</f>
        <v>Razzan Daksana Yoni</v>
      </c>
      <c r="D26" s="52">
        <f ca="1">IFERROR(__xludf.DUMMYFUNCTION("""COMPUTED_VALUE"""),92)</f>
        <v>92</v>
      </c>
      <c r="E26" s="52">
        <f ca="1">IFERROR(__xludf.DUMMYFUNCTION("""COMPUTED_VALUE"""),99)</f>
        <v>99</v>
      </c>
      <c r="F26" s="52">
        <f ca="1">IFERROR(__xludf.DUMMYFUNCTION("""COMPUTED_VALUE"""),100)</f>
        <v>100</v>
      </c>
      <c r="G26" s="52">
        <f ca="1">IFERROR(__xludf.DUMMYFUNCTION("""COMPUTED_VALUE"""),96)</f>
        <v>96</v>
      </c>
      <c r="H26" s="52">
        <f ca="1">IFERROR(__xludf.DUMMYFUNCTION("""COMPUTED_VALUE"""),111)</f>
        <v>111</v>
      </c>
      <c r="I26" s="52">
        <f ca="1">IFERROR(__xludf.DUMMYFUNCTION("""COMPUTED_VALUE"""),102)</f>
        <v>102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2">
      <c r="A27" s="2">
        <f ca="1">IFERROR(__xludf.DUMMYFUNCTION("""COMPUTED_VALUE"""),13521089)</f>
        <v>13521089</v>
      </c>
      <c r="B27" s="2" t="str">
        <f ca="1">IFERROR(__xludf.DUMMYFUNCTION("""COMPUTED_VALUE"""),"K1")</f>
        <v>K1</v>
      </c>
      <c r="C27" s="2" t="str">
        <f ca="1">IFERROR(__xludf.DUMMYFUNCTION("""COMPUTED_VALUE"""),"Kenneth Ezekiel Suprantoni")</f>
        <v>Kenneth Ezekiel Suprantoni</v>
      </c>
      <c r="D27" s="52">
        <f ca="1">IFERROR(__xludf.DUMMYFUNCTION("""COMPUTED_VALUE"""),91.5)</f>
        <v>91.5</v>
      </c>
      <c r="E27" s="52">
        <f ca="1">IFERROR(__xludf.DUMMYFUNCTION("""COMPUTED_VALUE"""),115)</f>
        <v>115</v>
      </c>
      <c r="F27" s="52">
        <f ca="1">IFERROR(__xludf.DUMMYFUNCTION("""COMPUTED_VALUE"""),108)</f>
        <v>108</v>
      </c>
      <c r="G27" s="52">
        <f ca="1">IFERROR(__xludf.DUMMYFUNCTION("""COMPUTED_VALUE"""),107)</f>
        <v>107</v>
      </c>
      <c r="H27" s="52">
        <f ca="1">IFERROR(__xludf.DUMMYFUNCTION("""COMPUTED_VALUE"""),108)</f>
        <v>108</v>
      </c>
      <c r="I27" s="52">
        <f ca="1">IFERROR(__xludf.DUMMYFUNCTION("""COMPUTED_VALUE"""),108)</f>
        <v>108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2">
      <c r="A28" s="2">
        <f ca="1">IFERROR(__xludf.DUMMYFUNCTION("""COMPUTED_VALUE"""),13521091)</f>
        <v>13521091</v>
      </c>
      <c r="B28" s="2" t="str">
        <f ca="1">IFERROR(__xludf.DUMMYFUNCTION("""COMPUTED_VALUE"""),"K1")</f>
        <v>K1</v>
      </c>
      <c r="C28" s="2" t="str">
        <f ca="1">IFERROR(__xludf.DUMMYFUNCTION("""COMPUTED_VALUE"""),"Fakih Anugerah Pratama")</f>
        <v>Fakih Anugerah Pratama</v>
      </c>
      <c r="D28" s="52">
        <f ca="1">IFERROR(__xludf.DUMMYFUNCTION("""COMPUTED_VALUE"""),92.5)</f>
        <v>92.5</v>
      </c>
      <c r="E28" s="52">
        <f ca="1">IFERROR(__xludf.DUMMYFUNCTION("""COMPUTED_VALUE"""),115)</f>
        <v>115</v>
      </c>
      <c r="F28" s="52">
        <f ca="1">IFERROR(__xludf.DUMMYFUNCTION("""COMPUTED_VALUE"""),24.5)</f>
        <v>24.5</v>
      </c>
      <c r="G28" s="52">
        <f ca="1">IFERROR(__xludf.DUMMYFUNCTION("""COMPUTED_VALUE"""),105)</f>
        <v>105</v>
      </c>
      <c r="H28" s="52">
        <f ca="1">IFERROR(__xludf.DUMMYFUNCTION("""COMPUTED_VALUE"""),103)</f>
        <v>103</v>
      </c>
      <c r="I28" s="52">
        <f ca="1">IFERROR(__xludf.DUMMYFUNCTION("""COMPUTED_VALUE"""),101.5)</f>
        <v>101.5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2">
      <c r="A29" s="2">
        <f ca="1">IFERROR(__xludf.DUMMYFUNCTION("""COMPUTED_VALUE"""),13521093)</f>
        <v>13521093</v>
      </c>
      <c r="B29" s="2" t="str">
        <f ca="1">IFERROR(__xludf.DUMMYFUNCTION("""COMPUTED_VALUE"""),"K1")</f>
        <v>K1</v>
      </c>
      <c r="C29" s="2" t="str">
        <f ca="1">IFERROR(__xludf.DUMMYFUNCTION("""COMPUTED_VALUE"""),"Akbar Maulana Ridho")</f>
        <v>Akbar Maulana Ridho</v>
      </c>
      <c r="D29" s="52">
        <f ca="1">IFERROR(__xludf.DUMMYFUNCTION("""COMPUTED_VALUE"""),88)</f>
        <v>88</v>
      </c>
      <c r="E29" s="52">
        <f ca="1">IFERROR(__xludf.DUMMYFUNCTION("""COMPUTED_VALUE"""),115)</f>
        <v>115</v>
      </c>
      <c r="F29" s="52">
        <f ca="1">IFERROR(__xludf.DUMMYFUNCTION("""COMPUTED_VALUE"""),110)</f>
        <v>110</v>
      </c>
      <c r="G29" s="52">
        <f ca="1">IFERROR(__xludf.DUMMYFUNCTION("""COMPUTED_VALUE"""),105)</f>
        <v>105</v>
      </c>
      <c r="H29" s="52">
        <f ca="1">IFERROR(__xludf.DUMMYFUNCTION("""COMPUTED_VALUE"""),115)</f>
        <v>115</v>
      </c>
      <c r="I29" s="52">
        <f ca="1">IFERROR(__xludf.DUMMYFUNCTION("""COMPUTED_VALUE"""),110)</f>
        <v>110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x14ac:dyDescent="0.2">
      <c r="A30" s="2">
        <f ca="1">IFERROR(__xludf.DUMMYFUNCTION("""COMPUTED_VALUE"""),13521095)</f>
        <v>13521095</v>
      </c>
      <c r="B30" s="2" t="str">
        <f ca="1">IFERROR(__xludf.DUMMYFUNCTION("""COMPUTED_VALUE"""),"K1")</f>
        <v>K1</v>
      </c>
      <c r="C30" s="2" t="str">
        <f ca="1">IFERROR(__xludf.DUMMYFUNCTION("""COMPUTED_VALUE"""),"Muhamad Aji Wibisono")</f>
        <v>Muhamad Aji Wibisono</v>
      </c>
      <c r="D30" s="52">
        <f ca="1">IFERROR(__xludf.DUMMYFUNCTION("""COMPUTED_VALUE"""),95)</f>
        <v>95</v>
      </c>
      <c r="E30" s="52">
        <f ca="1">IFERROR(__xludf.DUMMYFUNCTION("""COMPUTED_VALUE"""),99)</f>
        <v>99</v>
      </c>
      <c r="F30" s="52">
        <f ca="1">IFERROR(__xludf.DUMMYFUNCTION("""COMPUTED_VALUE"""),105)</f>
        <v>105</v>
      </c>
      <c r="G30" s="52">
        <f ca="1">IFERROR(__xludf.DUMMYFUNCTION("""COMPUTED_VALUE"""),106)</f>
        <v>106</v>
      </c>
      <c r="H30" s="52">
        <f ca="1">IFERROR(__xludf.DUMMYFUNCTION("""COMPUTED_VALUE"""),111)</f>
        <v>111</v>
      </c>
      <c r="I30" s="52">
        <f ca="1">IFERROR(__xludf.DUMMYFUNCTION("""COMPUTED_VALUE"""),108)</f>
        <v>108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x14ac:dyDescent="0.2">
      <c r="A31" s="2">
        <f ca="1">IFERROR(__xludf.DUMMYFUNCTION("""COMPUTED_VALUE"""),13521097)</f>
        <v>13521097</v>
      </c>
      <c r="B31" s="2" t="str">
        <f ca="1">IFERROR(__xludf.DUMMYFUNCTION("""COMPUTED_VALUE"""),"K1")</f>
        <v>K1</v>
      </c>
      <c r="C31" s="2" t="str">
        <f ca="1">IFERROR(__xludf.DUMMYFUNCTION("""COMPUTED_VALUE"""),"Shidqi Indy Izhari")</f>
        <v>Shidqi Indy Izhari</v>
      </c>
      <c r="D31" s="52">
        <f ca="1">IFERROR(__xludf.DUMMYFUNCTION("""COMPUTED_VALUE"""),80)</f>
        <v>80</v>
      </c>
      <c r="E31" s="52">
        <f ca="1">IFERROR(__xludf.DUMMYFUNCTION("""COMPUTED_VALUE"""),95.5)</f>
        <v>95.5</v>
      </c>
      <c r="F31" s="52">
        <f ca="1">IFERROR(__xludf.DUMMYFUNCTION("""COMPUTED_VALUE"""),102)</f>
        <v>102</v>
      </c>
      <c r="G31" s="52">
        <f ca="1">IFERROR(__xludf.DUMMYFUNCTION("""COMPUTED_VALUE"""),100)</f>
        <v>100</v>
      </c>
      <c r="H31" s="52">
        <f ca="1">IFERROR(__xludf.DUMMYFUNCTION("""COMPUTED_VALUE"""),108)</f>
        <v>108</v>
      </c>
      <c r="I31" s="52">
        <f ca="1">IFERROR(__xludf.DUMMYFUNCTION("""COMPUTED_VALUE"""),98)</f>
        <v>98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x14ac:dyDescent="0.2">
      <c r="A32" s="2">
        <f ca="1">IFERROR(__xludf.DUMMYFUNCTION("""COMPUTED_VALUE"""),13521099)</f>
        <v>13521099</v>
      </c>
      <c r="B32" s="2" t="str">
        <f ca="1">IFERROR(__xludf.DUMMYFUNCTION("""COMPUTED_VALUE"""),"K1")</f>
        <v>K1</v>
      </c>
      <c r="C32" s="2" t="str">
        <f ca="1">IFERROR(__xludf.DUMMYFUNCTION("""COMPUTED_VALUE"""),"Vieri Fajar Firdaus")</f>
        <v>Vieri Fajar Firdaus</v>
      </c>
      <c r="D32" s="52">
        <f ca="1">IFERROR(__xludf.DUMMYFUNCTION("""COMPUTED_VALUE"""),90)</f>
        <v>90</v>
      </c>
      <c r="E32" s="52">
        <f ca="1">IFERROR(__xludf.DUMMYFUNCTION("""COMPUTED_VALUE"""),115)</f>
        <v>115</v>
      </c>
      <c r="F32" s="52">
        <f ca="1">IFERROR(__xludf.DUMMYFUNCTION("""COMPUTED_VALUE"""),107)</f>
        <v>107</v>
      </c>
      <c r="G32" s="52">
        <f ca="1">IFERROR(__xludf.DUMMYFUNCTION("""COMPUTED_VALUE"""),98)</f>
        <v>98</v>
      </c>
      <c r="H32" s="52">
        <f ca="1">IFERROR(__xludf.DUMMYFUNCTION("""COMPUTED_VALUE"""),108)</f>
        <v>108</v>
      </c>
      <c r="I32" s="52">
        <f ca="1">IFERROR(__xludf.DUMMYFUNCTION("""COMPUTED_VALUE"""),103)</f>
        <v>103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2">
      <c r="A33" s="2">
        <f ca="1">IFERROR(__xludf.DUMMYFUNCTION("""COMPUTED_VALUE"""),13521101)</f>
        <v>13521101</v>
      </c>
      <c r="B33" s="2" t="str">
        <f ca="1">IFERROR(__xludf.DUMMYFUNCTION("""COMPUTED_VALUE"""),"K1")</f>
        <v>K1</v>
      </c>
      <c r="C33" s="2" t="str">
        <f ca="1">IFERROR(__xludf.DUMMYFUNCTION("""COMPUTED_VALUE"""),"Arsa Izdihar Islam")</f>
        <v>Arsa Izdihar Islam</v>
      </c>
      <c r="D33" s="52">
        <f ca="1">IFERROR(__xludf.DUMMYFUNCTION("""COMPUTED_VALUE"""),94.5)</f>
        <v>94.5</v>
      </c>
      <c r="E33" s="52">
        <f ca="1">IFERROR(__xludf.DUMMYFUNCTION("""COMPUTED_VALUE"""),115)</f>
        <v>115</v>
      </c>
      <c r="F33" s="52">
        <f ca="1">IFERROR(__xludf.DUMMYFUNCTION("""COMPUTED_VALUE"""),110)</f>
        <v>110</v>
      </c>
      <c r="G33" s="52">
        <f ca="1">IFERROR(__xludf.DUMMYFUNCTION("""COMPUTED_VALUE"""),107)</f>
        <v>107</v>
      </c>
      <c r="H33" s="52">
        <f ca="1">IFERROR(__xludf.DUMMYFUNCTION("""COMPUTED_VALUE"""),111)</f>
        <v>111</v>
      </c>
      <c r="I33" s="52">
        <f ca="1">IFERROR(__xludf.DUMMYFUNCTION("""COMPUTED_VALUE"""),110)</f>
        <v>110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x14ac:dyDescent="0.2">
      <c r="A34" s="2">
        <f ca="1">IFERROR(__xludf.DUMMYFUNCTION("""COMPUTED_VALUE"""),13521103)</f>
        <v>13521103</v>
      </c>
      <c r="B34" s="2" t="str">
        <f ca="1">IFERROR(__xludf.DUMMYFUNCTION("""COMPUTED_VALUE"""),"K1")</f>
        <v>K1</v>
      </c>
      <c r="C34" s="2" t="str">
        <f ca="1">IFERROR(__xludf.DUMMYFUNCTION("""COMPUTED_VALUE"""),"Aulia Mey Diva Annandya")</f>
        <v>Aulia Mey Diva Annandya</v>
      </c>
      <c r="D34" s="52">
        <f ca="1">IFERROR(__xludf.DUMMYFUNCTION("""COMPUTED_VALUE"""),100.5)</f>
        <v>100.5</v>
      </c>
      <c r="E34" s="52">
        <f ca="1">IFERROR(__xludf.DUMMYFUNCTION("""COMPUTED_VALUE"""),114)</f>
        <v>114</v>
      </c>
      <c r="F34" s="52">
        <f ca="1">IFERROR(__xludf.DUMMYFUNCTION("""COMPUTED_VALUE"""),100)</f>
        <v>100</v>
      </c>
      <c r="G34" s="52">
        <f ca="1">IFERROR(__xludf.DUMMYFUNCTION("""COMPUTED_VALUE"""),101)</f>
        <v>101</v>
      </c>
      <c r="H34" s="52">
        <f ca="1">IFERROR(__xludf.DUMMYFUNCTION("""COMPUTED_VALUE"""),111)</f>
        <v>111</v>
      </c>
      <c r="I34" s="52">
        <f ca="1">IFERROR(__xludf.DUMMYFUNCTION("""COMPUTED_VALUE"""),108)</f>
        <v>108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x14ac:dyDescent="0.2">
      <c r="A35" s="2">
        <f ca="1">IFERROR(__xludf.DUMMYFUNCTION("""COMPUTED_VALUE"""),13521105)</f>
        <v>13521105</v>
      </c>
      <c r="B35" s="2" t="str">
        <f ca="1">IFERROR(__xludf.DUMMYFUNCTION("""COMPUTED_VALUE"""),"K1")</f>
        <v>K1</v>
      </c>
      <c r="C35" s="2" t="str">
        <f ca="1">IFERROR(__xludf.DUMMYFUNCTION("""COMPUTED_VALUE"""),"Haidar Hamda")</f>
        <v>Haidar Hamda</v>
      </c>
      <c r="D35" s="52">
        <f ca="1">IFERROR(__xludf.DUMMYFUNCTION("""COMPUTED_VALUE"""),80)</f>
        <v>80</v>
      </c>
      <c r="E35" s="52">
        <f ca="1">IFERROR(__xludf.DUMMYFUNCTION("""COMPUTED_VALUE"""),113)</f>
        <v>113</v>
      </c>
      <c r="F35" s="52">
        <f ca="1">IFERROR(__xludf.DUMMYFUNCTION("""COMPUTED_VALUE"""),99)</f>
        <v>99</v>
      </c>
      <c r="G35" s="52">
        <f ca="1">IFERROR(__xludf.DUMMYFUNCTION("""COMPUTED_VALUE"""),104)</f>
        <v>104</v>
      </c>
      <c r="H35" s="52">
        <f ca="1">IFERROR(__xludf.DUMMYFUNCTION("""COMPUTED_VALUE"""),104.5)</f>
        <v>104.5</v>
      </c>
      <c r="I35" s="52">
        <f ca="1">IFERROR(__xludf.DUMMYFUNCTION("""COMPUTED_VALUE"""),94.5)</f>
        <v>94.5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2">
      <c r="A36" s="2">
        <f ca="1">IFERROR(__xludf.DUMMYFUNCTION("""COMPUTED_VALUE"""),13521107)</f>
        <v>13521107</v>
      </c>
      <c r="B36" s="2" t="str">
        <f ca="1">IFERROR(__xludf.DUMMYFUNCTION("""COMPUTED_VALUE"""),"K1")</f>
        <v>K1</v>
      </c>
      <c r="C36" s="2" t="str">
        <f ca="1">IFERROR(__xludf.DUMMYFUNCTION("""COMPUTED_VALUE"""),"Jericho Russel Sebastian")</f>
        <v>Jericho Russel Sebastian</v>
      </c>
      <c r="D36" s="52">
        <f ca="1">IFERROR(__xludf.DUMMYFUNCTION("""COMPUTED_VALUE"""),98.5)</f>
        <v>98.5</v>
      </c>
      <c r="E36" s="52">
        <f ca="1">IFERROR(__xludf.DUMMYFUNCTION("""COMPUTED_VALUE"""),115)</f>
        <v>115</v>
      </c>
      <c r="F36" s="52">
        <f ca="1">IFERROR(__xludf.DUMMYFUNCTION("""COMPUTED_VALUE"""),101)</f>
        <v>101</v>
      </c>
      <c r="G36" s="52">
        <f ca="1">IFERROR(__xludf.DUMMYFUNCTION("""COMPUTED_VALUE"""),100)</f>
        <v>100</v>
      </c>
      <c r="H36" s="52">
        <f ca="1">IFERROR(__xludf.DUMMYFUNCTION("""COMPUTED_VALUE"""),113)</f>
        <v>113</v>
      </c>
      <c r="I36" s="52">
        <f ca="1">IFERROR(__xludf.DUMMYFUNCTION("""COMPUTED_VALUE"""),95.5)</f>
        <v>95.5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">
      <c r="A37" s="2">
        <f ca="1">IFERROR(__xludf.DUMMYFUNCTION("""COMPUTED_VALUE"""),13521109)</f>
        <v>13521109</v>
      </c>
      <c r="B37" s="2" t="str">
        <f ca="1">IFERROR(__xludf.DUMMYFUNCTION("""COMPUTED_VALUE"""),"K1")</f>
        <v>K1</v>
      </c>
      <c r="C37" s="2" t="str">
        <f ca="1">IFERROR(__xludf.DUMMYFUNCTION("""COMPUTED_VALUE"""),"Rizky Abdillah Rasyid")</f>
        <v>Rizky Abdillah Rasyid</v>
      </c>
      <c r="D37" s="52">
        <f ca="1">IFERROR(__xludf.DUMMYFUNCTION("""COMPUTED_VALUE"""),77)</f>
        <v>77</v>
      </c>
      <c r="E37" s="52">
        <f ca="1">IFERROR(__xludf.DUMMYFUNCTION("""COMPUTED_VALUE"""),115)</f>
        <v>115</v>
      </c>
      <c r="F37" s="52">
        <f ca="1">IFERROR(__xludf.DUMMYFUNCTION("""COMPUTED_VALUE"""),107)</f>
        <v>107</v>
      </c>
      <c r="G37" s="52">
        <f ca="1">IFERROR(__xludf.DUMMYFUNCTION("""COMPUTED_VALUE"""),98)</f>
        <v>98</v>
      </c>
      <c r="H37" s="52">
        <f ca="1">IFERROR(__xludf.DUMMYFUNCTION("""COMPUTED_VALUE"""),87.5)</f>
        <v>87.5</v>
      </c>
      <c r="I37" s="52">
        <f ca="1">IFERROR(__xludf.DUMMYFUNCTION("""COMPUTED_VALUE"""),101)</f>
        <v>101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x14ac:dyDescent="0.2">
      <c r="A38" s="2">
        <f ca="1">IFERROR(__xludf.DUMMYFUNCTION("""COMPUTED_VALUE"""),13521111)</f>
        <v>13521111</v>
      </c>
      <c r="B38" s="2" t="str">
        <f ca="1">IFERROR(__xludf.DUMMYFUNCTION("""COMPUTED_VALUE"""),"K1")</f>
        <v>K1</v>
      </c>
      <c r="C38" s="2" t="str">
        <f ca="1">IFERROR(__xludf.DUMMYFUNCTION("""COMPUTED_VALUE"""),"Tabitha Permalla")</f>
        <v>Tabitha Permalla</v>
      </c>
      <c r="D38" s="52">
        <f ca="1">IFERROR(__xludf.DUMMYFUNCTION("""COMPUTED_VALUE"""),87.5)</f>
        <v>87.5</v>
      </c>
      <c r="E38" s="52">
        <f ca="1">IFERROR(__xludf.DUMMYFUNCTION("""COMPUTED_VALUE"""),114)</f>
        <v>114</v>
      </c>
      <c r="F38" s="52">
        <f ca="1">IFERROR(__xludf.DUMMYFUNCTION("""COMPUTED_VALUE"""),99)</f>
        <v>99</v>
      </c>
      <c r="G38" s="52">
        <f ca="1">IFERROR(__xludf.DUMMYFUNCTION("""COMPUTED_VALUE"""),107)</f>
        <v>107</v>
      </c>
      <c r="H38" s="52">
        <f ca="1">IFERROR(__xludf.DUMMYFUNCTION("""COMPUTED_VALUE"""),111)</f>
        <v>111</v>
      </c>
      <c r="I38" s="52">
        <f ca="1">IFERROR(__xludf.DUMMYFUNCTION("""COMPUTED_VALUE"""),94)</f>
        <v>94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x14ac:dyDescent="0.2">
      <c r="A39" s="2">
        <f ca="1">IFERROR(__xludf.DUMMYFUNCTION("""COMPUTED_VALUE"""),13521115)</f>
        <v>13521115</v>
      </c>
      <c r="B39" s="2" t="str">
        <f ca="1">IFERROR(__xludf.DUMMYFUNCTION("""COMPUTED_VALUE"""),"K1")</f>
        <v>K1</v>
      </c>
      <c r="C39" s="2" t="str">
        <f ca="1">IFERROR(__xludf.DUMMYFUNCTION("""COMPUTED_VALUE"""),"Shelma Salsabila")</f>
        <v>Shelma Salsabila</v>
      </c>
      <c r="D39" s="52">
        <f ca="1">IFERROR(__xludf.DUMMYFUNCTION("""COMPUTED_VALUE"""),84)</f>
        <v>84</v>
      </c>
      <c r="E39" s="52">
        <f ca="1">IFERROR(__xludf.DUMMYFUNCTION("""COMPUTED_VALUE"""),115)</f>
        <v>115</v>
      </c>
      <c r="F39" s="52">
        <f ca="1">IFERROR(__xludf.DUMMYFUNCTION("""COMPUTED_VALUE"""),99)</f>
        <v>99</v>
      </c>
      <c r="G39" s="52">
        <f ca="1">IFERROR(__xludf.DUMMYFUNCTION("""COMPUTED_VALUE"""),106)</f>
        <v>106</v>
      </c>
      <c r="H39" s="52">
        <f ca="1">IFERROR(__xludf.DUMMYFUNCTION("""COMPUTED_VALUE"""),113)</f>
        <v>113</v>
      </c>
      <c r="I39" s="52">
        <f ca="1">IFERROR(__xludf.DUMMYFUNCTION("""COMPUTED_VALUE"""),103.5)</f>
        <v>103.5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x14ac:dyDescent="0.2">
      <c r="A40" s="2">
        <f ca="1">IFERROR(__xludf.DUMMYFUNCTION("""COMPUTED_VALUE"""),13521117)</f>
        <v>13521117</v>
      </c>
      <c r="B40" s="2" t="str">
        <f ca="1">IFERROR(__xludf.DUMMYFUNCTION("""COMPUTED_VALUE"""),"K1")</f>
        <v>K1</v>
      </c>
      <c r="C40" s="2" t="str">
        <f ca="1">IFERROR(__xludf.DUMMYFUNCTION("""COMPUTED_VALUE"""),"Maggie Zeta Rosida S")</f>
        <v>Maggie Zeta Rosida S</v>
      </c>
      <c r="D40" s="52">
        <f ca="1">IFERROR(__xludf.DUMMYFUNCTION("""COMPUTED_VALUE"""),10)</f>
        <v>10</v>
      </c>
      <c r="E40" s="52">
        <f ca="1">IFERROR(__xludf.DUMMYFUNCTION("""COMPUTED_VALUE"""),0)</f>
        <v>0</v>
      </c>
      <c r="F40" s="52">
        <f ca="1">IFERROR(__xludf.DUMMYFUNCTION("""COMPUTED_VALUE"""),101)</f>
        <v>101</v>
      </c>
      <c r="G40" s="52">
        <f ca="1">IFERROR(__xludf.DUMMYFUNCTION("""COMPUTED_VALUE"""),103)</f>
        <v>103</v>
      </c>
      <c r="H40" s="52">
        <f ca="1">IFERROR(__xludf.DUMMYFUNCTION("""COMPUTED_VALUE"""),50.5)</f>
        <v>50.5</v>
      </c>
      <c r="I40" s="52">
        <f ca="1">IFERROR(__xludf.DUMMYFUNCTION("""COMPUTED_VALUE"""),88.5)</f>
        <v>88.5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2">
      <c r="A41" s="2">
        <f ca="1">IFERROR(__xludf.DUMMYFUNCTION("""COMPUTED_VALUE"""),13521119)</f>
        <v>13521119</v>
      </c>
      <c r="B41" s="2" t="str">
        <f ca="1">IFERROR(__xludf.DUMMYFUNCTION("""COMPUTED_VALUE"""),"K1")</f>
        <v>K1</v>
      </c>
      <c r="C41" s="2" t="str">
        <f ca="1">IFERROR(__xludf.DUMMYFUNCTION("""COMPUTED_VALUE"""),"Muhammad Rizky Sya'ban")</f>
        <v>Muhammad Rizky Sya'ban</v>
      </c>
      <c r="D41" s="52">
        <f ca="1">IFERROR(__xludf.DUMMYFUNCTION("""COMPUTED_VALUE"""),94)</f>
        <v>94</v>
      </c>
      <c r="E41" s="52">
        <f ca="1">IFERROR(__xludf.DUMMYFUNCTION("""COMPUTED_VALUE"""),115)</f>
        <v>115</v>
      </c>
      <c r="F41" s="52">
        <f ca="1">IFERROR(__xludf.DUMMYFUNCTION("""COMPUTED_VALUE"""),100)</f>
        <v>100</v>
      </c>
      <c r="G41" s="52">
        <f ca="1">IFERROR(__xludf.DUMMYFUNCTION("""COMPUTED_VALUE"""),92)</f>
        <v>92</v>
      </c>
      <c r="H41" s="52">
        <f ca="1">IFERROR(__xludf.DUMMYFUNCTION("""COMPUTED_VALUE"""),105)</f>
        <v>105</v>
      </c>
      <c r="I41" s="52">
        <f ca="1">IFERROR(__xludf.DUMMYFUNCTION("""COMPUTED_VALUE"""),103.5)</f>
        <v>103.5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2">
      <c r="A42" s="2">
        <f ca="1">IFERROR(__xludf.DUMMYFUNCTION("""COMPUTED_VALUE"""),13521121)</f>
        <v>13521121</v>
      </c>
      <c r="B42" s="2" t="str">
        <f ca="1">IFERROR(__xludf.DUMMYFUNCTION("""COMPUTED_VALUE"""),"K1")</f>
        <v>K1</v>
      </c>
      <c r="C42" s="2" t="str">
        <f ca="1">IFERROR(__xludf.DUMMYFUNCTION("""COMPUTED_VALUE"""),"Saddam Annais Shaquille")</f>
        <v>Saddam Annais Shaquille</v>
      </c>
      <c r="D42" s="52">
        <f ca="1">IFERROR(__xludf.DUMMYFUNCTION("""COMPUTED_VALUE"""),94)</f>
        <v>94</v>
      </c>
      <c r="E42" s="52">
        <f ca="1">IFERROR(__xludf.DUMMYFUNCTION("""COMPUTED_VALUE"""),115)</f>
        <v>115</v>
      </c>
      <c r="F42" s="52">
        <f ca="1">IFERROR(__xludf.DUMMYFUNCTION("""COMPUTED_VALUE"""),107)</f>
        <v>107</v>
      </c>
      <c r="G42" s="52">
        <f ca="1">IFERROR(__xludf.DUMMYFUNCTION("""COMPUTED_VALUE"""),106)</f>
        <v>106</v>
      </c>
      <c r="H42" s="52">
        <f ca="1">IFERROR(__xludf.DUMMYFUNCTION("""COMPUTED_VALUE"""),97)</f>
        <v>97</v>
      </c>
      <c r="I42" s="52">
        <f ca="1">IFERROR(__xludf.DUMMYFUNCTION("""COMPUTED_VALUE"""),101)</f>
        <v>101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2">
      <c r="A43" s="2">
        <f ca="1">IFERROR(__xludf.DUMMYFUNCTION("""COMPUTED_VALUE"""),13521123)</f>
        <v>13521123</v>
      </c>
      <c r="B43" s="2" t="str">
        <f ca="1">IFERROR(__xludf.DUMMYFUNCTION("""COMPUTED_VALUE"""),"K1")</f>
        <v>K1</v>
      </c>
      <c r="C43" s="2" t="str">
        <f ca="1">IFERROR(__xludf.DUMMYFUNCTION("""COMPUTED_VALUE"""),"William Nixon")</f>
        <v>William Nixon</v>
      </c>
      <c r="D43" s="52">
        <f ca="1">IFERROR(__xludf.DUMMYFUNCTION("""COMPUTED_VALUE"""),90)</f>
        <v>90</v>
      </c>
      <c r="E43" s="52">
        <f ca="1">IFERROR(__xludf.DUMMYFUNCTION("""COMPUTED_VALUE"""),115)</f>
        <v>115</v>
      </c>
      <c r="F43" s="52">
        <f ca="1">IFERROR(__xludf.DUMMYFUNCTION("""COMPUTED_VALUE"""),105)</f>
        <v>105</v>
      </c>
      <c r="G43" s="52">
        <f ca="1">IFERROR(__xludf.DUMMYFUNCTION("""COMPUTED_VALUE"""),107)</f>
        <v>107</v>
      </c>
      <c r="H43" s="52">
        <f ca="1">IFERROR(__xludf.DUMMYFUNCTION("""COMPUTED_VALUE"""),114)</f>
        <v>114</v>
      </c>
      <c r="I43" s="52">
        <f ca="1">IFERROR(__xludf.DUMMYFUNCTION("""COMPUTED_VALUE"""),110)</f>
        <v>110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2">
      <c r="A44" s="2">
        <f ca="1">IFERROR(__xludf.DUMMYFUNCTION("""COMPUTED_VALUE"""),13521125)</f>
        <v>13521125</v>
      </c>
      <c r="B44" s="2" t="str">
        <f ca="1">IFERROR(__xludf.DUMMYFUNCTION("""COMPUTED_VALUE"""),"K1")</f>
        <v>K1</v>
      </c>
      <c r="C44" s="2" t="str">
        <f ca="1">IFERROR(__xludf.DUMMYFUNCTION("""COMPUTED_VALUE"""),"Asyifa Nurul Shafira")</f>
        <v>Asyifa Nurul Shafira</v>
      </c>
      <c r="D44" s="52">
        <f ca="1">IFERROR(__xludf.DUMMYFUNCTION("""COMPUTED_VALUE"""),62)</f>
        <v>62</v>
      </c>
      <c r="E44" s="52">
        <f ca="1">IFERROR(__xludf.DUMMYFUNCTION("""COMPUTED_VALUE"""),105.5)</f>
        <v>105.5</v>
      </c>
      <c r="F44" s="52">
        <f ca="1">IFERROR(__xludf.DUMMYFUNCTION("""COMPUTED_VALUE"""),101)</f>
        <v>101</v>
      </c>
      <c r="G44" s="52">
        <f ca="1">IFERROR(__xludf.DUMMYFUNCTION("""COMPUTED_VALUE"""),99)</f>
        <v>99</v>
      </c>
      <c r="H44" s="52">
        <f ca="1">IFERROR(__xludf.DUMMYFUNCTION("""COMPUTED_VALUE"""),74)</f>
        <v>74</v>
      </c>
      <c r="I44" s="52">
        <f ca="1">IFERROR(__xludf.DUMMYFUNCTION("""COMPUTED_VALUE"""),106.5)</f>
        <v>106.5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2">
      <c r="A45" s="2">
        <f ca="1">IFERROR(__xludf.DUMMYFUNCTION("""COMPUTED_VALUE"""),13521127)</f>
        <v>13521127</v>
      </c>
      <c r="B45" s="2" t="str">
        <f ca="1">IFERROR(__xludf.DUMMYFUNCTION("""COMPUTED_VALUE"""),"K1")</f>
        <v>K1</v>
      </c>
      <c r="C45" s="2" t="str">
        <f ca="1">IFERROR(__xludf.DUMMYFUNCTION("""COMPUTED_VALUE"""),"Marcel Ryan Antony")</f>
        <v>Marcel Ryan Antony</v>
      </c>
      <c r="D45" s="52">
        <f ca="1">IFERROR(__xludf.DUMMYFUNCTION("""COMPUTED_VALUE"""),92)</f>
        <v>92</v>
      </c>
      <c r="E45" s="52">
        <f ca="1">IFERROR(__xludf.DUMMYFUNCTION("""COMPUTED_VALUE"""),113)</f>
        <v>113</v>
      </c>
      <c r="F45" s="52">
        <f ca="1">IFERROR(__xludf.DUMMYFUNCTION("""COMPUTED_VALUE"""),104)</f>
        <v>104</v>
      </c>
      <c r="G45" s="52">
        <f ca="1">IFERROR(__xludf.DUMMYFUNCTION("""COMPUTED_VALUE"""),108)</f>
        <v>108</v>
      </c>
      <c r="H45" s="52">
        <f ca="1">IFERROR(__xludf.DUMMYFUNCTION("""COMPUTED_VALUE"""),110)</f>
        <v>110</v>
      </c>
      <c r="I45" s="52">
        <f ca="1">IFERROR(__xludf.DUMMYFUNCTION("""COMPUTED_VALUE"""),102.5)</f>
        <v>102.5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2">
      <c r="A46" s="2">
        <f ca="1">IFERROR(__xludf.DUMMYFUNCTION("""COMPUTED_VALUE"""),13521129)</f>
        <v>13521129</v>
      </c>
      <c r="B46" s="2" t="str">
        <f ca="1">IFERROR(__xludf.DUMMYFUNCTION("""COMPUTED_VALUE"""),"K1")</f>
        <v>K1</v>
      </c>
      <c r="C46" s="2" t="str">
        <f ca="1">IFERROR(__xludf.DUMMYFUNCTION("""COMPUTED_VALUE"""),"Chiquita Ahsanunnisa")</f>
        <v>Chiquita Ahsanunnisa</v>
      </c>
      <c r="D46" s="52">
        <f ca="1">IFERROR(__xludf.DUMMYFUNCTION("""COMPUTED_VALUE"""),93.5)</f>
        <v>93.5</v>
      </c>
      <c r="E46" s="52">
        <f ca="1">IFERROR(__xludf.DUMMYFUNCTION("""COMPUTED_VALUE"""),115)</f>
        <v>115</v>
      </c>
      <c r="F46" s="52">
        <f ca="1">IFERROR(__xludf.DUMMYFUNCTION("""COMPUTED_VALUE"""),105)</f>
        <v>105</v>
      </c>
      <c r="G46" s="52">
        <f ca="1">IFERROR(__xludf.DUMMYFUNCTION("""COMPUTED_VALUE"""),106)</f>
        <v>106</v>
      </c>
      <c r="H46" s="52">
        <f ca="1">IFERROR(__xludf.DUMMYFUNCTION("""COMPUTED_VALUE"""),108)</f>
        <v>108</v>
      </c>
      <c r="I46" s="52">
        <f ca="1">IFERROR(__xludf.DUMMYFUNCTION("""COMPUTED_VALUE"""),109.5)</f>
        <v>109.5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">
      <c r="A47" s="2">
        <f ca="1">IFERROR(__xludf.DUMMYFUNCTION("""COMPUTED_VALUE"""),13521131)</f>
        <v>13521131</v>
      </c>
      <c r="B47" s="2" t="str">
        <f ca="1">IFERROR(__xludf.DUMMYFUNCTION("""COMPUTED_VALUE"""),"K1")</f>
        <v>K1</v>
      </c>
      <c r="C47" s="2" t="str">
        <f ca="1">IFERROR(__xludf.DUMMYFUNCTION("""COMPUTED_VALUE"""),"Jeremya Dharmawan Raharjo")</f>
        <v>Jeremya Dharmawan Raharjo</v>
      </c>
      <c r="D47" s="52">
        <f ca="1">IFERROR(__xludf.DUMMYFUNCTION("""COMPUTED_VALUE"""),79.5)</f>
        <v>79.5</v>
      </c>
      <c r="E47" s="52">
        <f ca="1">IFERROR(__xludf.DUMMYFUNCTION("""COMPUTED_VALUE"""),115)</f>
        <v>115</v>
      </c>
      <c r="F47" s="52">
        <f ca="1">IFERROR(__xludf.DUMMYFUNCTION("""COMPUTED_VALUE"""),100)</f>
        <v>100</v>
      </c>
      <c r="G47" s="52">
        <f ca="1">IFERROR(__xludf.DUMMYFUNCTION("""COMPUTED_VALUE"""),103)</f>
        <v>103</v>
      </c>
      <c r="H47" s="52">
        <f ca="1">IFERROR(__xludf.DUMMYFUNCTION("""COMPUTED_VALUE"""),113)</f>
        <v>113</v>
      </c>
      <c r="I47" s="52">
        <f ca="1">IFERROR(__xludf.DUMMYFUNCTION("""COMPUTED_VALUE"""),106.5)</f>
        <v>106.5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2">
      <c r="A48" s="2">
        <f ca="1">IFERROR(__xludf.DUMMYFUNCTION("""COMPUTED_VALUE"""),13521133)</f>
        <v>13521133</v>
      </c>
      <c r="B48" s="2" t="str">
        <f ca="1">IFERROR(__xludf.DUMMYFUNCTION("""COMPUTED_VALUE"""),"K1")</f>
        <v>K1</v>
      </c>
      <c r="C48" s="2" t="str">
        <f ca="1">IFERROR(__xludf.DUMMYFUNCTION("""COMPUTED_VALUE"""),"Cetta Reswara Parahita")</f>
        <v>Cetta Reswara Parahita</v>
      </c>
      <c r="D48" s="52">
        <f ca="1">IFERROR(__xludf.DUMMYFUNCTION("""COMPUTED_VALUE"""),85)</f>
        <v>85</v>
      </c>
      <c r="E48" s="52">
        <f ca="1">IFERROR(__xludf.DUMMYFUNCTION("""COMPUTED_VALUE"""),115)</f>
        <v>115</v>
      </c>
      <c r="F48" s="52">
        <f ca="1">IFERROR(__xludf.DUMMYFUNCTION("""COMPUTED_VALUE"""),99)</f>
        <v>99</v>
      </c>
      <c r="G48" s="52">
        <f ca="1">IFERROR(__xludf.DUMMYFUNCTION("""COMPUTED_VALUE"""),109)</f>
        <v>109</v>
      </c>
      <c r="H48" s="52">
        <f ca="1">IFERROR(__xludf.DUMMYFUNCTION("""COMPUTED_VALUE"""),74)</f>
        <v>74</v>
      </c>
      <c r="I48" s="52">
        <f ca="1">IFERROR(__xludf.DUMMYFUNCTION("""COMPUTED_VALUE"""),78)</f>
        <v>78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2">
      <c r="A49" s="2">
        <f ca="1">IFERROR(__xludf.DUMMYFUNCTION("""COMPUTED_VALUE"""),13521135)</f>
        <v>13521135</v>
      </c>
      <c r="B49" s="2" t="str">
        <f ca="1">IFERROR(__xludf.DUMMYFUNCTION("""COMPUTED_VALUE"""),"K1")</f>
        <v>K1</v>
      </c>
      <c r="C49" s="2" t="str">
        <f ca="1">IFERROR(__xludf.DUMMYFUNCTION("""COMPUTED_VALUE"""),"Nicholas Liem")</f>
        <v>Nicholas Liem</v>
      </c>
      <c r="D49" s="52">
        <f ca="1">IFERROR(__xludf.DUMMYFUNCTION("""COMPUTED_VALUE"""),95.5)</f>
        <v>95.5</v>
      </c>
      <c r="E49" s="52">
        <f ca="1">IFERROR(__xludf.DUMMYFUNCTION("""COMPUTED_VALUE"""),115)</f>
        <v>115</v>
      </c>
      <c r="F49" s="52">
        <f ca="1">IFERROR(__xludf.DUMMYFUNCTION("""COMPUTED_VALUE"""),100)</f>
        <v>100</v>
      </c>
      <c r="G49" s="52">
        <f ca="1">IFERROR(__xludf.DUMMYFUNCTION("""COMPUTED_VALUE"""),107)</f>
        <v>107</v>
      </c>
      <c r="H49" s="52">
        <f ca="1">IFERROR(__xludf.DUMMYFUNCTION("""COMPUTED_VALUE"""),102.5)</f>
        <v>102.5</v>
      </c>
      <c r="I49" s="52">
        <f ca="1">IFERROR(__xludf.DUMMYFUNCTION("""COMPUTED_VALUE"""),110)</f>
        <v>110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2">
      <c r="A50" s="2">
        <f ca="1">IFERROR(__xludf.DUMMYFUNCTION("""COMPUTED_VALUE"""),13521137)</f>
        <v>13521137</v>
      </c>
      <c r="B50" s="2" t="str">
        <f ca="1">IFERROR(__xludf.DUMMYFUNCTION("""COMPUTED_VALUE"""),"K1")</f>
        <v>K1</v>
      </c>
      <c r="C50" s="2" t="str">
        <f ca="1">IFERROR(__xludf.DUMMYFUNCTION("""COMPUTED_VALUE"""),"Michael Utama")</f>
        <v>Michael Utama</v>
      </c>
      <c r="D50" s="52">
        <f ca="1">IFERROR(__xludf.DUMMYFUNCTION("""COMPUTED_VALUE"""),99)</f>
        <v>99</v>
      </c>
      <c r="E50" s="52">
        <f ca="1">IFERROR(__xludf.DUMMYFUNCTION("""COMPUTED_VALUE"""),113)</f>
        <v>113</v>
      </c>
      <c r="F50" s="52">
        <f ca="1">IFERROR(__xludf.DUMMYFUNCTION("""COMPUTED_VALUE"""),110)</f>
        <v>110</v>
      </c>
      <c r="G50" s="52">
        <f ca="1">IFERROR(__xludf.DUMMYFUNCTION("""COMPUTED_VALUE"""),108)</f>
        <v>108</v>
      </c>
      <c r="H50" s="52">
        <f ca="1">IFERROR(__xludf.DUMMYFUNCTION("""COMPUTED_VALUE"""),113)</f>
        <v>113</v>
      </c>
      <c r="I50" s="52">
        <f ca="1">IFERROR(__xludf.DUMMYFUNCTION("""COMPUTED_VALUE"""),108.5)</f>
        <v>108.5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2">
      <c r="A51" s="2">
        <f ca="1">IFERROR(__xludf.DUMMYFUNCTION("""COMPUTED_VALUE"""),13521139)</f>
        <v>13521139</v>
      </c>
      <c r="B51" s="2" t="str">
        <f ca="1">IFERROR(__xludf.DUMMYFUNCTION("""COMPUTED_VALUE"""),"K1")</f>
        <v>K1</v>
      </c>
      <c r="C51" s="2" t="str">
        <f ca="1">IFERROR(__xludf.DUMMYFUNCTION("""COMPUTED_VALUE"""),"Nathania Calista Djunaedi")</f>
        <v>Nathania Calista Djunaedi</v>
      </c>
      <c r="D51" s="52">
        <f ca="1">IFERROR(__xludf.DUMMYFUNCTION("""COMPUTED_VALUE"""),95.5)</f>
        <v>95.5</v>
      </c>
      <c r="E51" s="52">
        <f ca="1">IFERROR(__xludf.DUMMYFUNCTION("""COMPUTED_VALUE"""),114)</f>
        <v>114</v>
      </c>
      <c r="F51" s="52">
        <f ca="1">IFERROR(__xludf.DUMMYFUNCTION("""COMPUTED_VALUE"""),106)</f>
        <v>106</v>
      </c>
      <c r="G51" s="52">
        <f ca="1">IFERROR(__xludf.DUMMYFUNCTION("""COMPUTED_VALUE"""),102)</f>
        <v>102</v>
      </c>
      <c r="H51" s="52">
        <f ca="1">IFERROR(__xludf.DUMMYFUNCTION("""COMPUTED_VALUE"""),115)</f>
        <v>115</v>
      </c>
      <c r="I51" s="52">
        <f ca="1">IFERROR(__xludf.DUMMYFUNCTION("""COMPUTED_VALUE"""),110)</f>
        <v>110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2">
      <c r="A52" s="2">
        <f ca="1">IFERROR(__xludf.DUMMYFUNCTION("""COMPUTED_VALUE"""),13521141)</f>
        <v>13521141</v>
      </c>
      <c r="B52" s="2" t="str">
        <f ca="1">IFERROR(__xludf.DUMMYFUNCTION("""COMPUTED_VALUE"""),"K1")</f>
        <v>K1</v>
      </c>
      <c r="C52" s="2" t="str">
        <f ca="1">IFERROR(__xludf.DUMMYFUNCTION("""COMPUTED_VALUE"""),"Edia Zaki Naufal Ilman")</f>
        <v>Edia Zaki Naufal Ilman</v>
      </c>
      <c r="D52" s="52">
        <f ca="1">IFERROR(__xludf.DUMMYFUNCTION("""COMPUTED_VALUE"""),84)</f>
        <v>84</v>
      </c>
      <c r="E52" s="52">
        <f ca="1">IFERROR(__xludf.DUMMYFUNCTION("""COMPUTED_VALUE"""),74)</f>
        <v>74</v>
      </c>
      <c r="F52" s="52">
        <f ca="1">IFERROR(__xludf.DUMMYFUNCTION("""COMPUTED_VALUE"""),24.5)</f>
        <v>24.5</v>
      </c>
      <c r="G52" s="52">
        <f ca="1">IFERROR(__xludf.DUMMYFUNCTION("""COMPUTED_VALUE"""),105)</f>
        <v>105</v>
      </c>
      <c r="H52" s="52">
        <f ca="1">IFERROR(__xludf.DUMMYFUNCTION("""COMPUTED_VALUE"""),104.5)</f>
        <v>104.5</v>
      </c>
      <c r="I52" s="52">
        <f ca="1">IFERROR(__xludf.DUMMYFUNCTION("""COMPUTED_VALUE"""),103)</f>
        <v>103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2">
      <c r="A53" s="2">
        <f ca="1">IFERROR(__xludf.DUMMYFUNCTION("""COMPUTED_VALUE"""),13521143)</f>
        <v>13521143</v>
      </c>
      <c r="B53" s="2" t="str">
        <f ca="1">IFERROR(__xludf.DUMMYFUNCTION("""COMPUTED_VALUE"""),"K1")</f>
        <v>K1</v>
      </c>
      <c r="C53" s="2" t="str">
        <f ca="1">IFERROR(__xludf.DUMMYFUNCTION("""COMPUTED_VALUE"""),"Raynard Tanadi")</f>
        <v>Raynard Tanadi</v>
      </c>
      <c r="D53" s="52">
        <f ca="1">IFERROR(__xludf.DUMMYFUNCTION("""COMPUTED_VALUE"""),88.5)</f>
        <v>88.5</v>
      </c>
      <c r="E53" s="52">
        <f ca="1">IFERROR(__xludf.DUMMYFUNCTION("""COMPUTED_VALUE"""),114)</f>
        <v>114</v>
      </c>
      <c r="F53" s="52">
        <f ca="1">IFERROR(__xludf.DUMMYFUNCTION("""COMPUTED_VALUE"""),105)</f>
        <v>105</v>
      </c>
      <c r="G53" s="52">
        <f ca="1">IFERROR(__xludf.DUMMYFUNCTION("""COMPUTED_VALUE"""),104)</f>
        <v>104</v>
      </c>
      <c r="H53" s="52">
        <f ca="1">IFERROR(__xludf.DUMMYFUNCTION("""COMPUTED_VALUE"""),110)</f>
        <v>110</v>
      </c>
      <c r="I53" s="52">
        <f ca="1">IFERROR(__xludf.DUMMYFUNCTION("""COMPUTED_VALUE"""),108)</f>
        <v>108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2">
      <c r="A54" s="2">
        <f ca="1">IFERROR(__xludf.DUMMYFUNCTION("""COMPUTED_VALUE"""),13521145)</f>
        <v>13521145</v>
      </c>
      <c r="B54" s="2" t="str">
        <f ca="1">IFERROR(__xludf.DUMMYFUNCTION("""COMPUTED_VALUE"""),"K1")</f>
        <v>K1</v>
      </c>
      <c r="C54" s="2" t="str">
        <f ca="1">IFERROR(__xludf.DUMMYFUNCTION("""COMPUTED_VALUE"""),"Kenneth Dave Bahana")</f>
        <v>Kenneth Dave Bahana</v>
      </c>
      <c r="D54" s="52">
        <f ca="1">IFERROR(__xludf.DUMMYFUNCTION("""COMPUTED_VALUE"""),89.5)</f>
        <v>89.5</v>
      </c>
      <c r="E54" s="52">
        <f ca="1">IFERROR(__xludf.DUMMYFUNCTION("""COMPUTED_VALUE"""),115)</f>
        <v>115</v>
      </c>
      <c r="F54" s="52">
        <f ca="1">IFERROR(__xludf.DUMMYFUNCTION("""COMPUTED_VALUE"""),105)</f>
        <v>105</v>
      </c>
      <c r="G54" s="52">
        <f ca="1">IFERROR(__xludf.DUMMYFUNCTION("""COMPUTED_VALUE"""),104)</f>
        <v>104</v>
      </c>
      <c r="H54" s="52">
        <f ca="1">IFERROR(__xludf.DUMMYFUNCTION("""COMPUTED_VALUE"""),107)</f>
        <v>107</v>
      </c>
      <c r="I54" s="52">
        <f ca="1">IFERROR(__xludf.DUMMYFUNCTION("""COMPUTED_VALUE"""),102.5)</f>
        <v>102.5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2">
      <c r="A55" s="2">
        <f ca="1">IFERROR(__xludf.DUMMYFUNCTION("""COMPUTED_VALUE"""),13521149)</f>
        <v>13521149</v>
      </c>
      <c r="B55" s="2" t="str">
        <f ca="1">IFERROR(__xludf.DUMMYFUNCTION("""COMPUTED_VALUE"""),"K1")</f>
        <v>K1</v>
      </c>
      <c r="C55" s="2" t="str">
        <f ca="1">IFERROR(__xludf.DUMMYFUNCTION("""COMPUTED_VALUE"""),"Rava Maulana Azzikri")</f>
        <v>Rava Maulana Azzikri</v>
      </c>
      <c r="D55" s="52">
        <f ca="1">IFERROR(__xludf.DUMMYFUNCTION("""COMPUTED_VALUE"""),92.5)</f>
        <v>92.5</v>
      </c>
      <c r="E55" s="52">
        <f ca="1">IFERROR(__xludf.DUMMYFUNCTION("""COMPUTED_VALUE"""),115)</f>
        <v>115</v>
      </c>
      <c r="F55" s="52">
        <f ca="1">IFERROR(__xludf.DUMMYFUNCTION("""COMPUTED_VALUE"""),99)</f>
        <v>99</v>
      </c>
      <c r="G55" s="52">
        <f ca="1">IFERROR(__xludf.DUMMYFUNCTION("""COMPUTED_VALUE"""),106)</f>
        <v>106</v>
      </c>
      <c r="H55" s="52">
        <f ca="1">IFERROR(__xludf.DUMMYFUNCTION("""COMPUTED_VALUE"""),102.5)</f>
        <v>102.5</v>
      </c>
      <c r="I55" s="52">
        <f ca="1">IFERROR(__xludf.DUMMYFUNCTION("""COMPUTED_VALUE"""),97)</f>
        <v>97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">
      <c r="A56" s="2">
        <f ca="1">IFERROR(__xludf.DUMMYFUNCTION("""COMPUTED_VALUE"""),13521151)</f>
        <v>13521151</v>
      </c>
      <c r="B56" s="2" t="str">
        <f ca="1">IFERROR(__xludf.DUMMYFUNCTION("""COMPUTED_VALUE"""),"K1")</f>
        <v>K1</v>
      </c>
      <c r="C56" s="2" t="str">
        <f ca="1">IFERROR(__xludf.DUMMYFUNCTION("""COMPUTED_VALUE"""),"Vanessa Rebecca Wiyono")</f>
        <v>Vanessa Rebecca Wiyono</v>
      </c>
      <c r="D56" s="52">
        <f ca="1">IFERROR(__xludf.DUMMYFUNCTION("""COMPUTED_VALUE"""),63)</f>
        <v>63</v>
      </c>
      <c r="E56" s="52">
        <f ca="1">IFERROR(__xludf.DUMMYFUNCTION("""COMPUTED_VALUE"""),114)</f>
        <v>114</v>
      </c>
      <c r="F56" s="52">
        <f ca="1">IFERROR(__xludf.DUMMYFUNCTION("""COMPUTED_VALUE"""),100)</f>
        <v>100</v>
      </c>
      <c r="G56" s="52">
        <f ca="1">IFERROR(__xludf.DUMMYFUNCTION("""COMPUTED_VALUE"""),106)</f>
        <v>106</v>
      </c>
      <c r="H56" s="52">
        <f ca="1">IFERROR(__xludf.DUMMYFUNCTION("""COMPUTED_VALUE"""),108)</f>
        <v>108</v>
      </c>
      <c r="I56" s="52">
        <f ca="1">IFERROR(__xludf.DUMMYFUNCTION("""COMPUTED_VALUE"""),110)</f>
        <v>110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2">
      <c r="A57" s="2">
        <f ca="1">IFERROR(__xludf.DUMMYFUNCTION("""COMPUTED_VALUE"""),13521153)</f>
        <v>13521153</v>
      </c>
      <c r="B57" s="2" t="str">
        <f ca="1">IFERROR(__xludf.DUMMYFUNCTION("""COMPUTED_VALUE"""),"K1")</f>
        <v>K1</v>
      </c>
      <c r="C57" s="2" t="str">
        <f ca="1">IFERROR(__xludf.DUMMYFUNCTION("""COMPUTED_VALUE"""),"Made Debby Almadea Putri")</f>
        <v>Made Debby Almadea Putri</v>
      </c>
      <c r="D57" s="52">
        <f ca="1">IFERROR(__xludf.DUMMYFUNCTION("""COMPUTED_VALUE"""),101)</f>
        <v>101</v>
      </c>
      <c r="E57" s="52">
        <f ca="1">IFERROR(__xludf.DUMMYFUNCTION("""COMPUTED_VALUE"""),115)</f>
        <v>115</v>
      </c>
      <c r="F57" s="52">
        <f ca="1">IFERROR(__xludf.DUMMYFUNCTION("""COMPUTED_VALUE"""),102)</f>
        <v>102</v>
      </c>
      <c r="G57" s="52">
        <f ca="1">IFERROR(__xludf.DUMMYFUNCTION("""COMPUTED_VALUE"""),107)</f>
        <v>107</v>
      </c>
      <c r="H57" s="52">
        <f ca="1">IFERROR(__xludf.DUMMYFUNCTION("""COMPUTED_VALUE"""),112)</f>
        <v>112</v>
      </c>
      <c r="I57" s="52">
        <f ca="1">IFERROR(__xludf.DUMMYFUNCTION("""COMPUTED_VALUE"""),110)</f>
        <v>110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">
      <c r="A58" s="2">
        <f ca="1">IFERROR(__xludf.DUMMYFUNCTION("""COMPUTED_VALUE"""),13521155)</f>
        <v>13521155</v>
      </c>
      <c r="B58" s="2" t="str">
        <f ca="1">IFERROR(__xludf.DUMMYFUNCTION("""COMPUTED_VALUE"""),"K1")</f>
        <v>K1</v>
      </c>
      <c r="C58" s="2" t="str">
        <f ca="1">IFERROR(__xludf.DUMMYFUNCTION("""COMPUTED_VALUE"""),"Kandida Edgina Gunawan")</f>
        <v>Kandida Edgina Gunawan</v>
      </c>
      <c r="D58" s="52">
        <f ca="1">IFERROR(__xludf.DUMMYFUNCTION("""COMPUTED_VALUE"""),93.5)</f>
        <v>93.5</v>
      </c>
      <c r="E58" s="52">
        <f ca="1">IFERROR(__xludf.DUMMYFUNCTION("""COMPUTED_VALUE"""),114)</f>
        <v>114</v>
      </c>
      <c r="F58" s="52">
        <f ca="1">IFERROR(__xludf.DUMMYFUNCTION("""COMPUTED_VALUE"""),102)</f>
        <v>102</v>
      </c>
      <c r="G58" s="52">
        <f ca="1">IFERROR(__xludf.DUMMYFUNCTION("""COMPUTED_VALUE"""),100)</f>
        <v>100</v>
      </c>
      <c r="H58" s="52">
        <f ca="1">IFERROR(__xludf.DUMMYFUNCTION("""COMPUTED_VALUE"""),114)</f>
        <v>114</v>
      </c>
      <c r="I58" s="52">
        <f ca="1">IFERROR(__xludf.DUMMYFUNCTION("""COMPUTED_VALUE"""),106.5)</f>
        <v>106.5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">
      <c r="A59" s="2">
        <f ca="1">IFERROR(__xludf.DUMMYFUNCTION("""COMPUTED_VALUE"""),13521157)</f>
        <v>13521157</v>
      </c>
      <c r="B59" s="2" t="str">
        <f ca="1">IFERROR(__xludf.DUMMYFUNCTION("""COMPUTED_VALUE"""),"K1")</f>
        <v>K1</v>
      </c>
      <c r="C59" s="2" t="str">
        <f ca="1">IFERROR(__xludf.DUMMYFUNCTION("""COMPUTED_VALUE"""),"Hanif Muhammad Zhafran")</f>
        <v>Hanif Muhammad Zhafran</v>
      </c>
      <c r="D59" s="52">
        <f ca="1">IFERROR(__xludf.DUMMYFUNCTION("""COMPUTED_VALUE"""),91.5)</f>
        <v>91.5</v>
      </c>
      <c r="E59" s="52">
        <f ca="1">IFERROR(__xludf.DUMMYFUNCTION("""COMPUTED_VALUE"""),115)</f>
        <v>115</v>
      </c>
      <c r="F59" s="52">
        <f ca="1">IFERROR(__xludf.DUMMYFUNCTION("""COMPUTED_VALUE"""),110)</f>
        <v>110</v>
      </c>
      <c r="G59" s="52">
        <f ca="1">IFERROR(__xludf.DUMMYFUNCTION("""COMPUTED_VALUE"""),99)</f>
        <v>99</v>
      </c>
      <c r="H59" s="52">
        <f ca="1">IFERROR(__xludf.DUMMYFUNCTION("""COMPUTED_VALUE"""),102)</f>
        <v>102</v>
      </c>
      <c r="I59" s="52">
        <f ca="1">IFERROR(__xludf.DUMMYFUNCTION("""COMPUTED_VALUE"""),101)</f>
        <v>101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">
      <c r="A60" s="2">
        <f ca="1">IFERROR(__xludf.DUMMYFUNCTION("""COMPUTED_VALUE"""),13521159)</f>
        <v>13521159</v>
      </c>
      <c r="B60" s="2" t="str">
        <f ca="1">IFERROR(__xludf.DUMMYFUNCTION("""COMPUTED_VALUE"""),"K1")</f>
        <v>K1</v>
      </c>
      <c r="C60" s="2" t="str">
        <f ca="1">IFERROR(__xludf.DUMMYFUNCTION("""COMPUTED_VALUE"""),"Sulthan Dzaky Alfaro")</f>
        <v>Sulthan Dzaky Alfaro</v>
      </c>
      <c r="D60" s="52">
        <f ca="1">IFERROR(__xludf.DUMMYFUNCTION("""COMPUTED_VALUE"""),95)</f>
        <v>95</v>
      </c>
      <c r="E60" s="52">
        <f ca="1">IFERROR(__xludf.DUMMYFUNCTION("""COMPUTED_VALUE"""),114)</f>
        <v>114</v>
      </c>
      <c r="F60" s="52">
        <f ca="1">IFERROR(__xludf.DUMMYFUNCTION("""COMPUTED_VALUE"""),102)</f>
        <v>102</v>
      </c>
      <c r="G60" s="52">
        <f ca="1">IFERROR(__xludf.DUMMYFUNCTION("""COMPUTED_VALUE"""),103)</f>
        <v>103</v>
      </c>
      <c r="H60" s="52">
        <f ca="1">IFERROR(__xludf.DUMMYFUNCTION("""COMPUTED_VALUE"""),94)</f>
        <v>94</v>
      </c>
      <c r="I60" s="52">
        <f ca="1">IFERROR(__xludf.DUMMYFUNCTION("""COMPUTED_VALUE"""),89.5)</f>
        <v>89.5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">
      <c r="A61" s="2">
        <f ca="1">IFERROR(__xludf.DUMMYFUNCTION("""COMPUTED_VALUE"""),13521161)</f>
        <v>13521161</v>
      </c>
      <c r="B61" s="2" t="str">
        <f ca="1">IFERROR(__xludf.DUMMYFUNCTION("""COMPUTED_VALUE"""),"K1")</f>
        <v>K1</v>
      </c>
      <c r="C61" s="2" t="str">
        <f ca="1">IFERROR(__xludf.DUMMYFUNCTION("""COMPUTED_VALUE"""),"Ferindya Aulia Berlianty")</f>
        <v>Ferindya Aulia Berlianty</v>
      </c>
      <c r="D61" s="52">
        <f ca="1">IFERROR(__xludf.DUMMYFUNCTION("""COMPUTED_VALUE"""),89)</f>
        <v>89</v>
      </c>
      <c r="E61" s="52">
        <f ca="1">IFERROR(__xludf.DUMMYFUNCTION("""COMPUTED_VALUE"""),105.5)</f>
        <v>105.5</v>
      </c>
      <c r="F61" s="52">
        <f ca="1">IFERROR(__xludf.DUMMYFUNCTION("""COMPUTED_VALUE"""),99)</f>
        <v>99</v>
      </c>
      <c r="G61" s="52">
        <f ca="1">IFERROR(__xludf.DUMMYFUNCTION("""COMPUTED_VALUE"""),99)</f>
        <v>99</v>
      </c>
      <c r="H61" s="52">
        <f ca="1">IFERROR(__xludf.DUMMYFUNCTION("""COMPUTED_VALUE"""),96.5)</f>
        <v>96.5</v>
      </c>
      <c r="I61" s="52">
        <f ca="1">IFERROR(__xludf.DUMMYFUNCTION("""COMPUTED_VALUE"""),84)</f>
        <v>84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">
      <c r="A62" s="2">
        <f ca="1">IFERROR(__xludf.DUMMYFUNCTION("""COMPUTED_VALUE"""),13521163)</f>
        <v>13521163</v>
      </c>
      <c r="B62" s="2" t="str">
        <f ca="1">IFERROR(__xludf.DUMMYFUNCTION("""COMPUTED_VALUE"""),"K1")</f>
        <v>K1</v>
      </c>
      <c r="C62" s="2" t="str">
        <f ca="1">IFERROR(__xludf.DUMMYFUNCTION("""COMPUTED_VALUE"""),"Zidane Firzatullah")</f>
        <v>Zidane Firzatullah</v>
      </c>
      <c r="D62" s="52">
        <f ca="1">IFERROR(__xludf.DUMMYFUNCTION("""COMPUTED_VALUE"""),97)</f>
        <v>97</v>
      </c>
      <c r="E62" s="52">
        <f ca="1">IFERROR(__xludf.DUMMYFUNCTION("""COMPUTED_VALUE"""),97.5)</f>
        <v>97.5</v>
      </c>
      <c r="F62" s="52">
        <f ca="1">IFERROR(__xludf.DUMMYFUNCTION("""COMPUTED_VALUE"""),105)</f>
        <v>105</v>
      </c>
      <c r="G62" s="52">
        <f ca="1">IFERROR(__xludf.DUMMYFUNCTION("""COMPUTED_VALUE"""),105)</f>
        <v>105</v>
      </c>
      <c r="H62" s="52">
        <f ca="1">IFERROR(__xludf.DUMMYFUNCTION("""COMPUTED_VALUE"""),101.5)</f>
        <v>101.5</v>
      </c>
      <c r="I62" s="52">
        <f ca="1">IFERROR(__xludf.DUMMYFUNCTION("""COMPUTED_VALUE"""),106)</f>
        <v>106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">
      <c r="A63" s="2">
        <f ca="1">IFERROR(__xludf.DUMMYFUNCTION("""COMPUTED_VALUE"""),13521165)</f>
        <v>13521165</v>
      </c>
      <c r="B63" s="2" t="str">
        <f ca="1">IFERROR(__xludf.DUMMYFUNCTION("""COMPUTED_VALUE"""),"K1")</f>
        <v>K1</v>
      </c>
      <c r="C63" s="2" t="str">
        <f ca="1">IFERROR(__xludf.DUMMYFUNCTION("""COMPUTED_VALUE"""),"Reza Pahlevi Ubaidillah")</f>
        <v>Reza Pahlevi Ubaidillah</v>
      </c>
      <c r="D63" s="52">
        <f ca="1">IFERROR(__xludf.DUMMYFUNCTION("""COMPUTED_VALUE"""),82)</f>
        <v>82</v>
      </c>
      <c r="E63" s="52">
        <f ca="1">IFERROR(__xludf.DUMMYFUNCTION("""COMPUTED_VALUE"""),112)</f>
        <v>112</v>
      </c>
      <c r="F63" s="52">
        <f ca="1">IFERROR(__xludf.DUMMYFUNCTION("""COMPUTED_VALUE"""),110)</f>
        <v>110</v>
      </c>
      <c r="G63" s="52">
        <f ca="1">IFERROR(__xludf.DUMMYFUNCTION("""COMPUTED_VALUE"""),104)</f>
        <v>104</v>
      </c>
      <c r="H63" s="52">
        <f ca="1">IFERROR(__xludf.DUMMYFUNCTION("""COMPUTED_VALUE"""),103)</f>
        <v>103</v>
      </c>
      <c r="I63" s="52">
        <f ca="1">IFERROR(__xludf.DUMMYFUNCTION("""COMPUTED_VALUE"""),78)</f>
        <v>78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2">
      <c r="A64" s="2">
        <f ca="1">IFERROR(__xludf.DUMMYFUNCTION("""COMPUTED_VALUE"""),13521167)</f>
        <v>13521167</v>
      </c>
      <c r="B64" s="2" t="str">
        <f ca="1">IFERROR(__xludf.DUMMYFUNCTION("""COMPUTED_VALUE"""),"K1")</f>
        <v>K1</v>
      </c>
      <c r="C64" s="2" t="str">
        <f ca="1">IFERROR(__xludf.DUMMYFUNCTION("""COMPUTED_VALUE"""),"Irgiansyah Mondo")</f>
        <v>Irgiansyah Mondo</v>
      </c>
      <c r="D64" s="52">
        <f ca="1">IFERROR(__xludf.DUMMYFUNCTION("""COMPUTED_VALUE"""),72)</f>
        <v>72</v>
      </c>
      <c r="E64" s="52">
        <f ca="1">IFERROR(__xludf.DUMMYFUNCTION("""COMPUTED_VALUE"""),71)</f>
        <v>71</v>
      </c>
      <c r="F64" s="52">
        <f ca="1">IFERROR(__xludf.DUMMYFUNCTION("""COMPUTED_VALUE"""),104)</f>
        <v>104</v>
      </c>
      <c r="G64" s="52">
        <f ca="1">IFERROR(__xludf.DUMMYFUNCTION("""COMPUTED_VALUE"""),53)</f>
        <v>53</v>
      </c>
      <c r="H64" s="52">
        <f ca="1">IFERROR(__xludf.DUMMYFUNCTION("""COMPUTED_VALUE"""),96.5)</f>
        <v>96.5</v>
      </c>
      <c r="I64" s="52">
        <f ca="1">IFERROR(__xludf.DUMMYFUNCTION("""COMPUTED_VALUE"""),50)</f>
        <v>50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2">
      <c r="A65" s="2">
        <f ca="1">IFERROR(__xludf.DUMMYFUNCTION("""COMPUTED_VALUE"""),13521169)</f>
        <v>13521169</v>
      </c>
      <c r="B65" s="2" t="str">
        <f ca="1">IFERROR(__xludf.DUMMYFUNCTION("""COMPUTED_VALUE"""),"K1")</f>
        <v>K1</v>
      </c>
      <c r="C65" s="2" t="str">
        <f ca="1">IFERROR(__xludf.DUMMYFUNCTION("""COMPUTED_VALUE"""),"Muhammad Habibi Husni")</f>
        <v>Muhammad Habibi Husni</v>
      </c>
      <c r="D65" s="52">
        <f ca="1">IFERROR(__xludf.DUMMYFUNCTION("""COMPUTED_VALUE"""),98)</f>
        <v>98</v>
      </c>
      <c r="E65" s="52">
        <f ca="1">IFERROR(__xludf.DUMMYFUNCTION("""COMPUTED_VALUE"""),115)</f>
        <v>115</v>
      </c>
      <c r="F65" s="52">
        <f ca="1">IFERROR(__xludf.DUMMYFUNCTION("""COMPUTED_VALUE"""),110)</f>
        <v>110</v>
      </c>
      <c r="G65" s="52">
        <f ca="1">IFERROR(__xludf.DUMMYFUNCTION("""COMPUTED_VALUE"""),103)</f>
        <v>103</v>
      </c>
      <c r="H65" s="52">
        <f ca="1">IFERROR(__xludf.DUMMYFUNCTION("""COMPUTED_VALUE"""),112)</f>
        <v>112</v>
      </c>
      <c r="I65" s="52">
        <f ca="1">IFERROR(__xludf.DUMMYFUNCTION("""COMPUTED_VALUE"""),84)</f>
        <v>84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2">
      <c r="A66" s="2">
        <f ca="1">IFERROR(__xludf.DUMMYFUNCTION("""COMPUTED_VALUE"""),13521171)</f>
        <v>13521171</v>
      </c>
      <c r="B66" s="2" t="str">
        <f ca="1">IFERROR(__xludf.DUMMYFUNCTION("""COMPUTED_VALUE"""),"K1")</f>
        <v>K1</v>
      </c>
      <c r="C66" s="2" t="str">
        <f ca="1">IFERROR(__xludf.DUMMYFUNCTION("""COMPUTED_VALUE"""),"Alisha Listya Wardhani")</f>
        <v>Alisha Listya Wardhani</v>
      </c>
      <c r="D66" s="52">
        <f ca="1">IFERROR(__xludf.DUMMYFUNCTION("""COMPUTED_VALUE"""),101)</f>
        <v>101</v>
      </c>
      <c r="E66" s="52">
        <f ca="1">IFERROR(__xludf.DUMMYFUNCTION("""COMPUTED_VALUE"""),115)</f>
        <v>115</v>
      </c>
      <c r="F66" s="52">
        <f ca="1">IFERROR(__xludf.DUMMYFUNCTION("""COMPUTED_VALUE"""),100)</f>
        <v>100</v>
      </c>
      <c r="G66" s="52">
        <f ca="1">IFERROR(__xludf.DUMMYFUNCTION("""COMPUTED_VALUE"""),106)</f>
        <v>106</v>
      </c>
      <c r="H66" s="52">
        <f ca="1">IFERROR(__xludf.DUMMYFUNCTION("""COMPUTED_VALUE"""),115)</f>
        <v>115</v>
      </c>
      <c r="I66" s="52">
        <f ca="1">IFERROR(__xludf.DUMMYFUNCTION("""COMPUTED_VALUE"""),110)</f>
        <v>110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2">
      <c r="A67" s="2">
        <f ca="1">IFERROR(__xludf.DUMMYFUNCTION("""COMPUTED_VALUE"""),13521173)</f>
        <v>13521173</v>
      </c>
      <c r="B67" s="2" t="str">
        <f ca="1">IFERROR(__xludf.DUMMYFUNCTION("""COMPUTED_VALUE"""),"K1")</f>
        <v>K1</v>
      </c>
      <c r="C67" s="2" t="str">
        <f ca="1">IFERROR(__xludf.DUMMYFUNCTION("""COMPUTED_VALUE"""),"Dewana Gustavus Haraka Otang")</f>
        <v>Dewana Gustavus Haraka Otang</v>
      </c>
      <c r="D67" s="52">
        <f ca="1">IFERROR(__xludf.DUMMYFUNCTION("""COMPUTED_VALUE"""),103)</f>
        <v>103</v>
      </c>
      <c r="E67" s="52">
        <f ca="1">IFERROR(__xludf.DUMMYFUNCTION("""COMPUTED_VALUE"""),115)</f>
        <v>115</v>
      </c>
      <c r="F67" s="52">
        <f ca="1">IFERROR(__xludf.DUMMYFUNCTION("""COMPUTED_VALUE"""),110)</f>
        <v>110</v>
      </c>
      <c r="G67" s="52">
        <f ca="1">IFERROR(__xludf.DUMMYFUNCTION("""COMPUTED_VALUE"""),102)</f>
        <v>102</v>
      </c>
      <c r="H67" s="52">
        <f ca="1">IFERROR(__xludf.DUMMYFUNCTION("""COMPUTED_VALUE"""),113)</f>
        <v>113</v>
      </c>
      <c r="I67" s="52">
        <f ca="1">IFERROR(__xludf.DUMMYFUNCTION("""COMPUTED_VALUE"""),96.5)</f>
        <v>96.5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2">
      <c r="A68" s="2">
        <f ca="1">IFERROR(__xludf.DUMMYFUNCTION("""COMPUTED_VALUE"""),13518134)</f>
        <v>13518134</v>
      </c>
      <c r="B68" s="2" t="str">
        <f ca="1">IFERROR(__xludf.DUMMYFUNCTION("""COMPUTED_VALUE"""),"K2")</f>
        <v>K2</v>
      </c>
      <c r="C68" s="2" t="str">
        <f ca="1">IFERROR(__xludf.DUMMYFUNCTION("""COMPUTED_VALUE"""),"Muhammad Raihan Iqbal")</f>
        <v>Muhammad Raihan Iqbal</v>
      </c>
      <c r="D68" s="52">
        <f ca="1">IFERROR(__xludf.DUMMYFUNCTION("""COMPUTED_VALUE"""),81)</f>
        <v>81</v>
      </c>
      <c r="E68" s="52">
        <f ca="1">IFERROR(__xludf.DUMMYFUNCTION("""COMPUTED_VALUE"""),87)</f>
        <v>87</v>
      </c>
      <c r="F68" s="52">
        <f ca="1">IFERROR(__xludf.DUMMYFUNCTION("""COMPUTED_VALUE"""),104)</f>
        <v>104</v>
      </c>
      <c r="G68" s="52">
        <f ca="1">IFERROR(__xludf.DUMMYFUNCTION("""COMPUTED_VALUE"""),102)</f>
        <v>102</v>
      </c>
      <c r="H68" s="52">
        <f ca="1">IFERROR(__xludf.DUMMYFUNCTION("""COMPUTED_VALUE"""),20)</f>
        <v>20</v>
      </c>
      <c r="I68" s="52">
        <f ca="1">IFERROR(__xludf.DUMMYFUNCTION("""COMPUTED_VALUE"""),85)</f>
        <v>85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2">
      <c r="A69" s="2">
        <f ca="1">IFERROR(__xludf.DUMMYFUNCTION("""COMPUTED_VALUE"""),13521042)</f>
        <v>13521042</v>
      </c>
      <c r="B69" s="2" t="str">
        <f ca="1">IFERROR(__xludf.DUMMYFUNCTION("""COMPUTED_VALUE"""),"K2")</f>
        <v>K2</v>
      </c>
      <c r="C69" s="2" t="str">
        <f ca="1">IFERROR(__xludf.DUMMYFUNCTION("""COMPUTED_VALUE"""),"Kevin John Wesley Hutabarat")</f>
        <v>Kevin John Wesley Hutabarat</v>
      </c>
      <c r="D69" s="52">
        <f ca="1">IFERROR(__xludf.DUMMYFUNCTION("""COMPUTED_VALUE"""),94.5)</f>
        <v>94.5</v>
      </c>
      <c r="E69" s="52">
        <f ca="1">IFERROR(__xludf.DUMMYFUNCTION("""COMPUTED_VALUE"""),112)</f>
        <v>112</v>
      </c>
      <c r="F69" s="52">
        <f ca="1">IFERROR(__xludf.DUMMYFUNCTION("""COMPUTED_VALUE"""),104)</f>
        <v>104</v>
      </c>
      <c r="G69" s="52">
        <f ca="1">IFERROR(__xludf.DUMMYFUNCTION("""COMPUTED_VALUE"""),104)</f>
        <v>104</v>
      </c>
      <c r="H69" s="52">
        <f ca="1">IFERROR(__xludf.DUMMYFUNCTION("""COMPUTED_VALUE"""),110)</f>
        <v>110</v>
      </c>
      <c r="I69" s="52">
        <f ca="1">IFERROR(__xludf.DUMMYFUNCTION("""COMPUTED_VALUE"""),95.5)</f>
        <v>95.5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2">
      <c r="A70" s="2">
        <f ca="1">IFERROR(__xludf.DUMMYFUNCTION("""COMPUTED_VALUE"""),13521044)</f>
        <v>13521044</v>
      </c>
      <c r="B70" s="2" t="str">
        <f ca="1">IFERROR(__xludf.DUMMYFUNCTION("""COMPUTED_VALUE"""),"K2")</f>
        <v>K2</v>
      </c>
      <c r="C70" s="2" t="str">
        <f ca="1">IFERROR(__xludf.DUMMYFUNCTION("""COMPUTED_VALUE"""),"Rachel Gabriela Chen")</f>
        <v>Rachel Gabriela Chen</v>
      </c>
      <c r="D70" s="52">
        <f ca="1">IFERROR(__xludf.DUMMYFUNCTION("""COMPUTED_VALUE"""),97.5)</f>
        <v>97.5</v>
      </c>
      <c r="E70" s="52">
        <f ca="1">IFERROR(__xludf.DUMMYFUNCTION("""COMPUTED_VALUE"""),115)</f>
        <v>115</v>
      </c>
      <c r="F70" s="52">
        <f ca="1">IFERROR(__xludf.DUMMYFUNCTION("""COMPUTED_VALUE"""),105)</f>
        <v>105</v>
      </c>
      <c r="G70" s="52">
        <f ca="1">IFERROR(__xludf.DUMMYFUNCTION("""COMPUTED_VALUE"""),110)</f>
        <v>110</v>
      </c>
      <c r="H70" s="52">
        <f ca="1">IFERROR(__xludf.DUMMYFUNCTION("""COMPUTED_VALUE"""),113)</f>
        <v>113</v>
      </c>
      <c r="I70" s="52">
        <f ca="1">IFERROR(__xludf.DUMMYFUNCTION("""COMPUTED_VALUE"""),110)</f>
        <v>110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x14ac:dyDescent="0.2">
      <c r="A71" s="2">
        <f ca="1">IFERROR(__xludf.DUMMYFUNCTION("""COMPUTED_VALUE"""),13521046)</f>
        <v>13521046</v>
      </c>
      <c r="B71" s="2" t="str">
        <f ca="1">IFERROR(__xludf.DUMMYFUNCTION("""COMPUTED_VALUE"""),"K2")</f>
        <v>K2</v>
      </c>
      <c r="C71" s="2" t="str">
        <f ca="1">IFERROR(__xludf.DUMMYFUNCTION("""COMPUTED_VALUE"""),"Jeffrey Chow")</f>
        <v>Jeffrey Chow</v>
      </c>
      <c r="D71" s="52">
        <f ca="1">IFERROR(__xludf.DUMMYFUNCTION("""COMPUTED_VALUE"""),95.5)</f>
        <v>95.5</v>
      </c>
      <c r="E71" s="52">
        <f ca="1">IFERROR(__xludf.DUMMYFUNCTION("""COMPUTED_VALUE"""),115)</f>
        <v>115</v>
      </c>
      <c r="F71" s="52">
        <f ca="1">IFERROR(__xludf.DUMMYFUNCTION("""COMPUTED_VALUE"""),104)</f>
        <v>104</v>
      </c>
      <c r="G71" s="52">
        <f ca="1">IFERROR(__xludf.DUMMYFUNCTION("""COMPUTED_VALUE"""),110)</f>
        <v>110</v>
      </c>
      <c r="H71" s="52">
        <f ca="1">IFERROR(__xludf.DUMMYFUNCTION("""COMPUTED_VALUE"""),113)</f>
        <v>113</v>
      </c>
      <c r="I71" s="52">
        <f ca="1">IFERROR(__xludf.DUMMYFUNCTION("""COMPUTED_VALUE"""),109.5)</f>
        <v>109.5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2">
      <c r="A72" s="2">
        <f ca="1">IFERROR(__xludf.DUMMYFUNCTION("""COMPUTED_VALUE"""),13521048)</f>
        <v>13521048</v>
      </c>
      <c r="B72" s="2" t="str">
        <f ca="1">IFERROR(__xludf.DUMMYFUNCTION("""COMPUTED_VALUE"""),"K2")</f>
        <v>K2</v>
      </c>
      <c r="C72" s="2" t="str">
        <f ca="1">IFERROR(__xludf.DUMMYFUNCTION("""COMPUTED_VALUE"""),"M. Farrel Danendra Rachim")</f>
        <v>M. Farrel Danendra Rachim</v>
      </c>
      <c r="D72" s="52">
        <f ca="1">IFERROR(__xludf.DUMMYFUNCTION("""COMPUTED_VALUE"""),93)</f>
        <v>93</v>
      </c>
      <c r="E72" s="52">
        <f ca="1">IFERROR(__xludf.DUMMYFUNCTION("""COMPUTED_VALUE"""),111)</f>
        <v>111</v>
      </c>
      <c r="F72" s="52">
        <f ca="1">IFERROR(__xludf.DUMMYFUNCTION("""COMPUTED_VALUE"""),99)</f>
        <v>99</v>
      </c>
      <c r="G72" s="52">
        <f ca="1">IFERROR(__xludf.DUMMYFUNCTION("""COMPUTED_VALUE"""),104)</f>
        <v>104</v>
      </c>
      <c r="H72" s="52">
        <f ca="1">IFERROR(__xludf.DUMMYFUNCTION("""COMPUTED_VALUE"""),112)</f>
        <v>112</v>
      </c>
      <c r="I72" s="52">
        <f ca="1">IFERROR(__xludf.DUMMYFUNCTION("""COMPUTED_VALUE"""),91)</f>
        <v>91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x14ac:dyDescent="0.2">
      <c r="A73" s="2">
        <f ca="1">IFERROR(__xludf.DUMMYFUNCTION("""COMPUTED_VALUE"""),13521050)</f>
        <v>13521050</v>
      </c>
      <c r="B73" s="2" t="str">
        <f ca="1">IFERROR(__xludf.DUMMYFUNCTION("""COMPUTED_VALUE"""),"K2")</f>
        <v>K2</v>
      </c>
      <c r="C73" s="2" t="str">
        <f ca="1">IFERROR(__xludf.DUMMYFUNCTION("""COMPUTED_VALUE"""),"Naufal Syifa Firdaus")</f>
        <v>Naufal Syifa Firdaus</v>
      </c>
      <c r="D73" s="52">
        <f ca="1">IFERROR(__xludf.DUMMYFUNCTION("""COMPUTED_VALUE"""),97.5)</f>
        <v>97.5</v>
      </c>
      <c r="E73" s="52">
        <f ca="1">IFERROR(__xludf.DUMMYFUNCTION("""COMPUTED_VALUE"""),111)</f>
        <v>111</v>
      </c>
      <c r="F73" s="52">
        <f ca="1">IFERROR(__xludf.DUMMYFUNCTION("""COMPUTED_VALUE"""),110)</f>
        <v>110</v>
      </c>
      <c r="G73" s="52">
        <f ca="1">IFERROR(__xludf.DUMMYFUNCTION("""COMPUTED_VALUE"""),100)</f>
        <v>100</v>
      </c>
      <c r="H73" s="52">
        <f ca="1">IFERROR(__xludf.DUMMYFUNCTION("""COMPUTED_VALUE"""),111)</f>
        <v>111</v>
      </c>
      <c r="I73" s="52">
        <f ca="1">IFERROR(__xludf.DUMMYFUNCTION("""COMPUTED_VALUE"""),85)</f>
        <v>85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x14ac:dyDescent="0.2">
      <c r="A74" s="2">
        <f ca="1">IFERROR(__xludf.DUMMYFUNCTION("""COMPUTED_VALUE"""),13521052)</f>
        <v>13521052</v>
      </c>
      <c r="B74" s="2" t="str">
        <f ca="1">IFERROR(__xludf.DUMMYFUNCTION("""COMPUTED_VALUE"""),"K2")</f>
        <v>K2</v>
      </c>
      <c r="C74" s="2" t="str">
        <f ca="1">IFERROR(__xludf.DUMMYFUNCTION("""COMPUTED_VALUE"""),"Melvin Kent Jonathan")</f>
        <v>Melvin Kent Jonathan</v>
      </c>
      <c r="D74" s="52">
        <f ca="1">IFERROR(__xludf.DUMMYFUNCTION("""COMPUTED_VALUE"""),88.5)</f>
        <v>88.5</v>
      </c>
      <c r="E74" s="52">
        <f ca="1">IFERROR(__xludf.DUMMYFUNCTION("""COMPUTED_VALUE"""),113)</f>
        <v>113</v>
      </c>
      <c r="F74" s="52">
        <f ca="1">IFERROR(__xludf.DUMMYFUNCTION("""COMPUTED_VALUE"""),107)</f>
        <v>107</v>
      </c>
      <c r="G74" s="52">
        <f ca="1">IFERROR(__xludf.DUMMYFUNCTION("""COMPUTED_VALUE"""),105)</f>
        <v>105</v>
      </c>
      <c r="H74" s="52">
        <f ca="1">IFERROR(__xludf.DUMMYFUNCTION("""COMPUTED_VALUE"""),113)</f>
        <v>113</v>
      </c>
      <c r="I74" s="52">
        <f ca="1">IFERROR(__xludf.DUMMYFUNCTION("""COMPUTED_VALUE"""),102)</f>
        <v>102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x14ac:dyDescent="0.2">
      <c r="A75" s="2">
        <f ca="1">IFERROR(__xludf.DUMMYFUNCTION("""COMPUTED_VALUE"""),13521054)</f>
        <v>13521054</v>
      </c>
      <c r="B75" s="2" t="str">
        <f ca="1">IFERROR(__xludf.DUMMYFUNCTION("""COMPUTED_VALUE"""),"K2")</f>
        <v>K2</v>
      </c>
      <c r="C75" s="2" t="str">
        <f ca="1">IFERROR(__xludf.DUMMYFUNCTION("""COMPUTED_VALUE"""),"Wilson Tansil")</f>
        <v>Wilson Tansil</v>
      </c>
      <c r="D75" s="52">
        <f ca="1">IFERROR(__xludf.DUMMYFUNCTION("""COMPUTED_VALUE"""),97.5)</f>
        <v>97.5</v>
      </c>
      <c r="E75" s="52">
        <f ca="1">IFERROR(__xludf.DUMMYFUNCTION("""COMPUTED_VALUE"""),113)</f>
        <v>113</v>
      </c>
      <c r="F75" s="52">
        <f ca="1">IFERROR(__xludf.DUMMYFUNCTION("""COMPUTED_VALUE"""),105)</f>
        <v>105</v>
      </c>
      <c r="G75" s="52">
        <f ca="1">IFERROR(__xludf.DUMMYFUNCTION("""COMPUTED_VALUE"""),107)</f>
        <v>107</v>
      </c>
      <c r="H75" s="52">
        <f ca="1">IFERROR(__xludf.DUMMYFUNCTION("""COMPUTED_VALUE"""),113)</f>
        <v>113</v>
      </c>
      <c r="I75" s="52">
        <f ca="1">IFERROR(__xludf.DUMMYFUNCTION("""COMPUTED_VALUE"""),105.5)</f>
        <v>105.5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x14ac:dyDescent="0.2">
      <c r="A76" s="2">
        <f ca="1">IFERROR(__xludf.DUMMYFUNCTION("""COMPUTED_VALUE"""),13521056)</f>
        <v>13521056</v>
      </c>
      <c r="B76" s="2" t="str">
        <f ca="1">IFERROR(__xludf.DUMMYFUNCTION("""COMPUTED_VALUE"""),"K2")</f>
        <v>K2</v>
      </c>
      <c r="C76" s="2" t="str">
        <f ca="1">IFERROR(__xludf.DUMMYFUNCTION("""COMPUTED_VALUE"""),"Daniel Egiant Sitanggang")</f>
        <v>Daniel Egiant Sitanggang</v>
      </c>
      <c r="D76" s="52">
        <f ca="1">IFERROR(__xludf.DUMMYFUNCTION("""COMPUTED_VALUE"""),94.5)</f>
        <v>94.5</v>
      </c>
      <c r="E76" s="52">
        <f ca="1">IFERROR(__xludf.DUMMYFUNCTION("""COMPUTED_VALUE"""),112)</f>
        <v>112</v>
      </c>
      <c r="F76" s="52">
        <f ca="1">IFERROR(__xludf.DUMMYFUNCTION("""COMPUTED_VALUE"""),100)</f>
        <v>100</v>
      </c>
      <c r="G76" s="52">
        <f ca="1">IFERROR(__xludf.DUMMYFUNCTION("""COMPUTED_VALUE"""),105)</f>
        <v>105</v>
      </c>
      <c r="H76" s="52">
        <f ca="1">IFERROR(__xludf.DUMMYFUNCTION("""COMPUTED_VALUE"""),109)</f>
        <v>109</v>
      </c>
      <c r="I76" s="52">
        <f ca="1">IFERROR(__xludf.DUMMYFUNCTION("""COMPUTED_VALUE"""),106.5)</f>
        <v>106.5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x14ac:dyDescent="0.2">
      <c r="A77" s="2">
        <f ca="1">IFERROR(__xludf.DUMMYFUNCTION("""COMPUTED_VALUE"""),13521058)</f>
        <v>13521058</v>
      </c>
      <c r="B77" s="2" t="str">
        <f ca="1">IFERROR(__xludf.DUMMYFUNCTION("""COMPUTED_VALUE"""),"K2")</f>
        <v>K2</v>
      </c>
      <c r="C77" s="2" t="str">
        <f ca="1">IFERROR(__xludf.DUMMYFUNCTION("""COMPUTED_VALUE"""),"Ghazi Akmal Fauzan")</f>
        <v>Ghazi Akmal Fauzan</v>
      </c>
      <c r="D77" s="52">
        <f ca="1">IFERROR(__xludf.DUMMYFUNCTION("""COMPUTED_VALUE"""),101)</f>
        <v>101</v>
      </c>
      <c r="E77" s="52">
        <f ca="1">IFERROR(__xludf.DUMMYFUNCTION("""COMPUTED_VALUE"""),115)</f>
        <v>115</v>
      </c>
      <c r="F77" s="52">
        <f ca="1">IFERROR(__xludf.DUMMYFUNCTION("""COMPUTED_VALUE"""),110)</f>
        <v>110</v>
      </c>
      <c r="G77" s="52">
        <f ca="1">IFERROR(__xludf.DUMMYFUNCTION("""COMPUTED_VALUE"""),100)</f>
        <v>100</v>
      </c>
      <c r="H77" s="52">
        <f ca="1">IFERROR(__xludf.DUMMYFUNCTION("""COMPUTED_VALUE"""),104.5)</f>
        <v>104.5</v>
      </c>
      <c r="I77" s="52">
        <f ca="1">IFERROR(__xludf.DUMMYFUNCTION("""COMPUTED_VALUE"""),101.5)</f>
        <v>101.5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x14ac:dyDescent="0.2">
      <c r="A78" s="2">
        <f ca="1">IFERROR(__xludf.DUMMYFUNCTION("""COMPUTED_VALUE"""),13521060)</f>
        <v>13521060</v>
      </c>
      <c r="B78" s="2" t="str">
        <f ca="1">IFERROR(__xludf.DUMMYFUNCTION("""COMPUTED_VALUE"""),"K2")</f>
        <v>K2</v>
      </c>
      <c r="C78" s="2" t="str">
        <f ca="1">IFERROR(__xludf.DUMMYFUNCTION("""COMPUTED_VALUE"""),"Fatih Nararya Rashadyfa I.")</f>
        <v>Fatih Nararya Rashadyfa I.</v>
      </c>
      <c r="D78" s="52">
        <f ca="1">IFERROR(__xludf.DUMMYFUNCTION("""COMPUTED_VALUE"""),97.5)</f>
        <v>97.5</v>
      </c>
      <c r="E78" s="52">
        <f ca="1">IFERROR(__xludf.DUMMYFUNCTION("""COMPUTED_VALUE"""),115)</f>
        <v>115</v>
      </c>
      <c r="F78" s="52">
        <f ca="1">IFERROR(__xludf.DUMMYFUNCTION("""COMPUTED_VALUE"""),105)</f>
        <v>105</v>
      </c>
      <c r="G78" s="52">
        <f ca="1">IFERROR(__xludf.DUMMYFUNCTION("""COMPUTED_VALUE"""),106)</f>
        <v>106</v>
      </c>
      <c r="H78" s="52">
        <f ca="1">IFERROR(__xludf.DUMMYFUNCTION("""COMPUTED_VALUE"""),105.5)</f>
        <v>105.5</v>
      </c>
      <c r="I78" s="52">
        <f ca="1">IFERROR(__xludf.DUMMYFUNCTION("""COMPUTED_VALUE"""),108)</f>
        <v>108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x14ac:dyDescent="0.2">
      <c r="A79" s="2">
        <f ca="1">IFERROR(__xludf.DUMMYFUNCTION("""COMPUTED_VALUE"""),13521062)</f>
        <v>13521062</v>
      </c>
      <c r="B79" s="2" t="str">
        <f ca="1">IFERROR(__xludf.DUMMYFUNCTION("""COMPUTED_VALUE"""),"K2")</f>
        <v>K2</v>
      </c>
      <c r="C79" s="2" t="str">
        <f ca="1">IFERROR(__xludf.DUMMYFUNCTION("""COMPUTED_VALUE"""),"Go Dillon Audris")</f>
        <v>Go Dillon Audris</v>
      </c>
      <c r="D79" s="52">
        <f ca="1">IFERROR(__xludf.DUMMYFUNCTION("""COMPUTED_VALUE"""),97.5)</f>
        <v>97.5</v>
      </c>
      <c r="E79" s="52">
        <f ca="1">IFERROR(__xludf.DUMMYFUNCTION("""COMPUTED_VALUE"""),115)</f>
        <v>115</v>
      </c>
      <c r="F79" s="52">
        <f ca="1">IFERROR(__xludf.DUMMYFUNCTION("""COMPUTED_VALUE"""),100)</f>
        <v>100</v>
      </c>
      <c r="G79" s="52">
        <f ca="1">IFERROR(__xludf.DUMMYFUNCTION("""COMPUTED_VALUE"""),106)</f>
        <v>106</v>
      </c>
      <c r="H79" s="52">
        <f ca="1">IFERROR(__xludf.DUMMYFUNCTION("""COMPUTED_VALUE"""),107)</f>
        <v>107</v>
      </c>
      <c r="I79" s="52">
        <f ca="1">IFERROR(__xludf.DUMMYFUNCTION("""COMPUTED_VALUE"""),107)</f>
        <v>107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2">
      <c r="A80" s="2">
        <f ca="1">IFERROR(__xludf.DUMMYFUNCTION("""COMPUTED_VALUE"""),13521064)</f>
        <v>13521064</v>
      </c>
      <c r="B80" s="2" t="str">
        <f ca="1">IFERROR(__xludf.DUMMYFUNCTION("""COMPUTED_VALUE"""),"K2")</f>
        <v>K2</v>
      </c>
      <c r="C80" s="2" t="str">
        <f ca="1">IFERROR(__xludf.DUMMYFUNCTION("""COMPUTED_VALUE"""),"Bill Clinton")</f>
        <v>Bill Clinton</v>
      </c>
      <c r="D80" s="52">
        <f ca="1">IFERROR(__xludf.DUMMYFUNCTION("""COMPUTED_VALUE"""),93.5)</f>
        <v>93.5</v>
      </c>
      <c r="E80" s="52">
        <f ca="1">IFERROR(__xludf.DUMMYFUNCTION("""COMPUTED_VALUE"""),115)</f>
        <v>115</v>
      </c>
      <c r="F80" s="52">
        <f ca="1">IFERROR(__xludf.DUMMYFUNCTION("""COMPUTED_VALUE"""),100)</f>
        <v>100</v>
      </c>
      <c r="G80" s="52">
        <f ca="1">IFERROR(__xludf.DUMMYFUNCTION("""COMPUTED_VALUE"""),102)</f>
        <v>102</v>
      </c>
      <c r="H80" s="52">
        <f ca="1">IFERROR(__xludf.DUMMYFUNCTION("""COMPUTED_VALUE"""),105)</f>
        <v>105</v>
      </c>
      <c r="I80" s="52">
        <f ca="1">IFERROR(__xludf.DUMMYFUNCTION("""COMPUTED_VALUE"""),109.5)</f>
        <v>109.5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x14ac:dyDescent="0.2">
      <c r="A81" s="2">
        <f ca="1">IFERROR(__xludf.DUMMYFUNCTION("""COMPUTED_VALUE"""),13521066)</f>
        <v>13521066</v>
      </c>
      <c r="B81" s="2" t="str">
        <f ca="1">IFERROR(__xludf.DUMMYFUNCTION("""COMPUTED_VALUE"""),"K2")</f>
        <v>K2</v>
      </c>
      <c r="C81" s="2" t="str">
        <f ca="1">IFERROR(__xludf.DUMMYFUNCTION("""COMPUTED_VALUE"""),"Muhammad Fadhil Amri")</f>
        <v>Muhammad Fadhil Amri</v>
      </c>
      <c r="D81" s="52">
        <f ca="1">IFERROR(__xludf.DUMMYFUNCTION("""COMPUTED_VALUE"""),99)</f>
        <v>99</v>
      </c>
      <c r="E81" s="52">
        <f ca="1">IFERROR(__xludf.DUMMYFUNCTION("""COMPUTED_VALUE"""),114)</f>
        <v>114</v>
      </c>
      <c r="F81" s="52">
        <f ca="1">IFERROR(__xludf.DUMMYFUNCTION("""COMPUTED_VALUE"""),110)</f>
        <v>110</v>
      </c>
      <c r="G81" s="52">
        <f ca="1">IFERROR(__xludf.DUMMYFUNCTION("""COMPUTED_VALUE"""),96)</f>
        <v>96</v>
      </c>
      <c r="H81" s="52">
        <f ca="1">IFERROR(__xludf.DUMMYFUNCTION("""COMPUTED_VALUE"""),113)</f>
        <v>113</v>
      </c>
      <c r="I81" s="52">
        <f ca="1">IFERROR(__xludf.DUMMYFUNCTION("""COMPUTED_VALUE"""),82)</f>
        <v>82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x14ac:dyDescent="0.2">
      <c r="A82" s="2">
        <f ca="1">IFERROR(__xludf.DUMMYFUNCTION("""COMPUTED_VALUE"""),13521068)</f>
        <v>13521068</v>
      </c>
      <c r="B82" s="2" t="str">
        <f ca="1">IFERROR(__xludf.DUMMYFUNCTION("""COMPUTED_VALUE"""),"K2")</f>
        <v>K2</v>
      </c>
      <c r="C82" s="2" t="str">
        <f ca="1">IFERROR(__xludf.DUMMYFUNCTION("""COMPUTED_VALUE"""),"Ilham Akbar")</f>
        <v>Ilham Akbar</v>
      </c>
      <c r="D82" s="52">
        <f ca="1">IFERROR(__xludf.DUMMYFUNCTION("""COMPUTED_VALUE"""),93)</f>
        <v>93</v>
      </c>
      <c r="E82" s="52">
        <f ca="1">IFERROR(__xludf.DUMMYFUNCTION("""COMPUTED_VALUE"""),86)</f>
        <v>86</v>
      </c>
      <c r="F82" s="52">
        <f ca="1">IFERROR(__xludf.DUMMYFUNCTION("""COMPUTED_VALUE"""),104)</f>
        <v>104</v>
      </c>
      <c r="G82" s="52">
        <f ca="1">IFERROR(__xludf.DUMMYFUNCTION("""COMPUTED_VALUE"""),100)</f>
        <v>100</v>
      </c>
      <c r="H82" s="52">
        <f ca="1">IFERROR(__xludf.DUMMYFUNCTION("""COMPUTED_VALUE"""),87.5)</f>
        <v>87.5</v>
      </c>
      <c r="I82" s="52">
        <f ca="1">IFERROR(__xludf.DUMMYFUNCTION("""COMPUTED_VALUE"""),106.5)</f>
        <v>106.5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x14ac:dyDescent="0.2">
      <c r="A83" s="2">
        <f ca="1">IFERROR(__xludf.DUMMYFUNCTION("""COMPUTED_VALUE"""),13521070)</f>
        <v>13521070</v>
      </c>
      <c r="B83" s="2" t="str">
        <f ca="1">IFERROR(__xludf.DUMMYFUNCTION("""COMPUTED_VALUE"""),"K2")</f>
        <v>K2</v>
      </c>
      <c r="C83" s="2" t="str">
        <f ca="1">IFERROR(__xludf.DUMMYFUNCTION("""COMPUTED_VALUE"""),"Akmal Mahardika Nurwahyu P")</f>
        <v>Akmal Mahardika Nurwahyu P</v>
      </c>
      <c r="D83" s="52">
        <f ca="1">IFERROR(__xludf.DUMMYFUNCTION("""COMPUTED_VALUE"""),95.5)</f>
        <v>95.5</v>
      </c>
      <c r="E83" s="52">
        <f ca="1">IFERROR(__xludf.DUMMYFUNCTION("""COMPUTED_VALUE"""),115)</f>
        <v>115</v>
      </c>
      <c r="F83" s="52">
        <f ca="1">IFERROR(__xludf.DUMMYFUNCTION("""COMPUTED_VALUE"""),110)</f>
        <v>110</v>
      </c>
      <c r="G83" s="52">
        <f ca="1">IFERROR(__xludf.DUMMYFUNCTION("""COMPUTED_VALUE"""),96)</f>
        <v>96</v>
      </c>
      <c r="H83" s="52">
        <f ca="1">IFERROR(__xludf.DUMMYFUNCTION("""COMPUTED_VALUE"""),104.5)</f>
        <v>104.5</v>
      </c>
      <c r="I83" s="52">
        <f ca="1">IFERROR(__xludf.DUMMYFUNCTION("""COMPUTED_VALUE"""),107)</f>
        <v>107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x14ac:dyDescent="0.2">
      <c r="A84" s="2">
        <f ca="1">IFERROR(__xludf.DUMMYFUNCTION("""COMPUTED_VALUE"""),13521072)</f>
        <v>13521072</v>
      </c>
      <c r="B84" s="2" t="str">
        <f ca="1">IFERROR(__xludf.DUMMYFUNCTION("""COMPUTED_VALUE"""),"K2")</f>
        <v>K2</v>
      </c>
      <c r="C84" s="2" t="str">
        <f ca="1">IFERROR(__xludf.DUMMYFUNCTION("""COMPUTED_VALUE"""),"Irsyad Nurwidianto Basuki")</f>
        <v>Irsyad Nurwidianto Basuki</v>
      </c>
      <c r="D84" s="52">
        <f ca="1">IFERROR(__xludf.DUMMYFUNCTION("""COMPUTED_VALUE"""),99)</f>
        <v>99</v>
      </c>
      <c r="E84" s="52">
        <f ca="1">IFERROR(__xludf.DUMMYFUNCTION("""COMPUTED_VALUE"""),107.5)</f>
        <v>107.5</v>
      </c>
      <c r="F84" s="52">
        <f ca="1">IFERROR(__xludf.DUMMYFUNCTION("""COMPUTED_VALUE"""),105)</f>
        <v>105</v>
      </c>
      <c r="G84" s="52">
        <f ca="1">IFERROR(__xludf.DUMMYFUNCTION("""COMPUTED_VALUE"""),101)</f>
        <v>101</v>
      </c>
      <c r="H84" s="52">
        <f ca="1">IFERROR(__xludf.DUMMYFUNCTION("""COMPUTED_VALUE"""),107)</f>
        <v>107</v>
      </c>
      <c r="I84" s="52">
        <f ca="1">IFERROR(__xludf.DUMMYFUNCTION("""COMPUTED_VALUE"""),100)</f>
        <v>100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x14ac:dyDescent="0.2">
      <c r="A85" s="2">
        <f ca="1">IFERROR(__xludf.DUMMYFUNCTION("""COMPUTED_VALUE"""),13521074)</f>
        <v>13521074</v>
      </c>
      <c r="B85" s="2" t="str">
        <f ca="1">IFERROR(__xludf.DUMMYFUNCTION("""COMPUTED_VALUE"""),"K2")</f>
        <v>K2</v>
      </c>
      <c r="C85" s="2" t="str">
        <f ca="1">IFERROR(__xludf.DUMMYFUNCTION("""COMPUTED_VALUE"""),"Eugene Yap Jin Quan")</f>
        <v>Eugene Yap Jin Quan</v>
      </c>
      <c r="D85" s="52">
        <f ca="1">IFERROR(__xludf.DUMMYFUNCTION("""COMPUTED_VALUE"""),97.5)</f>
        <v>97.5</v>
      </c>
      <c r="E85" s="52">
        <f ca="1">IFERROR(__xludf.DUMMYFUNCTION("""COMPUTED_VALUE"""),111)</f>
        <v>111</v>
      </c>
      <c r="F85" s="52">
        <f ca="1">IFERROR(__xludf.DUMMYFUNCTION("""COMPUTED_VALUE"""),99)</f>
        <v>99</v>
      </c>
      <c r="G85" s="52">
        <f ca="1">IFERROR(__xludf.DUMMYFUNCTION("""COMPUTED_VALUE"""),110)</f>
        <v>110</v>
      </c>
      <c r="H85" s="52">
        <f ca="1">IFERROR(__xludf.DUMMYFUNCTION("""COMPUTED_VALUE"""),114)</f>
        <v>114</v>
      </c>
      <c r="I85" s="52">
        <f ca="1">IFERROR(__xludf.DUMMYFUNCTION("""COMPUTED_VALUE"""),102)</f>
        <v>102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x14ac:dyDescent="0.2">
      <c r="A86" s="2">
        <f ca="1">IFERROR(__xludf.DUMMYFUNCTION("""COMPUTED_VALUE"""),13521076)</f>
        <v>13521076</v>
      </c>
      <c r="B86" s="2" t="str">
        <f ca="1">IFERROR(__xludf.DUMMYFUNCTION("""COMPUTED_VALUE"""),"K2")</f>
        <v>K2</v>
      </c>
      <c r="C86" s="2" t="str">
        <f ca="1">IFERROR(__xludf.DUMMYFUNCTION("""COMPUTED_VALUE"""),"Moh. Aghna Maysan Abyan")</f>
        <v>Moh. Aghna Maysan Abyan</v>
      </c>
      <c r="D86" s="52">
        <f ca="1">IFERROR(__xludf.DUMMYFUNCTION("""COMPUTED_VALUE"""),91)</f>
        <v>91</v>
      </c>
      <c r="E86" s="52">
        <f ca="1">IFERROR(__xludf.DUMMYFUNCTION("""COMPUTED_VALUE"""),114)</f>
        <v>114</v>
      </c>
      <c r="F86" s="52">
        <f ca="1">IFERROR(__xludf.DUMMYFUNCTION("""COMPUTED_VALUE"""),105)</f>
        <v>105</v>
      </c>
      <c r="G86" s="52">
        <f ca="1">IFERROR(__xludf.DUMMYFUNCTION("""COMPUTED_VALUE"""),100)</f>
        <v>100</v>
      </c>
      <c r="H86" s="52">
        <f ca="1">IFERROR(__xludf.DUMMYFUNCTION("""COMPUTED_VALUE"""),110)</f>
        <v>110</v>
      </c>
      <c r="I86" s="52">
        <f ca="1">IFERROR(__xludf.DUMMYFUNCTION("""COMPUTED_VALUE"""),78)</f>
        <v>78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2">
      <c r="A87" s="2">
        <f ca="1">IFERROR(__xludf.DUMMYFUNCTION("""COMPUTED_VALUE"""),13521078)</f>
        <v>13521078</v>
      </c>
      <c r="B87" s="2" t="str">
        <f ca="1">IFERROR(__xludf.DUMMYFUNCTION("""COMPUTED_VALUE"""),"K2")</f>
        <v>K2</v>
      </c>
      <c r="C87" s="2" t="str">
        <f ca="1">IFERROR(__xludf.DUMMYFUNCTION("""COMPUTED_VALUE"""),"Christian Albert Hasiholan")</f>
        <v>Christian Albert Hasiholan</v>
      </c>
      <c r="D87" s="52">
        <f ca="1">IFERROR(__xludf.DUMMYFUNCTION("""COMPUTED_VALUE"""),98)</f>
        <v>98</v>
      </c>
      <c r="E87" s="52">
        <f ca="1">IFERROR(__xludf.DUMMYFUNCTION("""COMPUTED_VALUE"""),112)</f>
        <v>112</v>
      </c>
      <c r="F87" s="52">
        <f ca="1">IFERROR(__xludf.DUMMYFUNCTION("""COMPUTED_VALUE"""),82)</f>
        <v>82</v>
      </c>
      <c r="G87" s="52">
        <f ca="1">IFERROR(__xludf.DUMMYFUNCTION("""COMPUTED_VALUE"""),97)</f>
        <v>97</v>
      </c>
      <c r="H87" s="52">
        <f ca="1">IFERROR(__xludf.DUMMYFUNCTION("""COMPUTED_VALUE"""),104.5)</f>
        <v>104.5</v>
      </c>
      <c r="I87" s="52">
        <f ca="1">IFERROR(__xludf.DUMMYFUNCTION("""COMPUTED_VALUE"""),101.5)</f>
        <v>101.5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">
      <c r="A88" s="2">
        <f ca="1">IFERROR(__xludf.DUMMYFUNCTION("""COMPUTED_VALUE"""),13521080)</f>
        <v>13521080</v>
      </c>
      <c r="B88" s="2" t="str">
        <f ca="1">IFERROR(__xludf.DUMMYFUNCTION("""COMPUTED_VALUE"""),"K2")</f>
        <v>K2</v>
      </c>
      <c r="C88" s="2" t="str">
        <f ca="1">IFERROR(__xludf.DUMMYFUNCTION("""COMPUTED_VALUE"""),"Fajar Maulana Herawan")</f>
        <v>Fajar Maulana Herawan</v>
      </c>
      <c r="D88" s="52">
        <f ca="1">IFERROR(__xludf.DUMMYFUNCTION("""COMPUTED_VALUE"""),97.5)</f>
        <v>97.5</v>
      </c>
      <c r="E88" s="52">
        <f ca="1">IFERROR(__xludf.DUMMYFUNCTION("""COMPUTED_VALUE"""),114)</f>
        <v>114</v>
      </c>
      <c r="F88" s="52">
        <f ca="1">IFERROR(__xludf.DUMMYFUNCTION("""COMPUTED_VALUE"""),107)</f>
        <v>107</v>
      </c>
      <c r="G88" s="52">
        <f ca="1">IFERROR(__xludf.DUMMYFUNCTION("""COMPUTED_VALUE"""),98)</f>
        <v>98</v>
      </c>
      <c r="H88" s="52">
        <f ca="1">IFERROR(__xludf.DUMMYFUNCTION("""COMPUTED_VALUE"""),105)</f>
        <v>105</v>
      </c>
      <c r="I88" s="52">
        <f ca="1">IFERROR(__xludf.DUMMYFUNCTION("""COMPUTED_VALUE"""),103)</f>
        <v>103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2">
      <c r="A89" s="2">
        <f ca="1">IFERROR(__xludf.DUMMYFUNCTION("""COMPUTED_VALUE"""),13521082)</f>
        <v>13521082</v>
      </c>
      <c r="B89" s="2" t="str">
        <f ca="1">IFERROR(__xludf.DUMMYFUNCTION("""COMPUTED_VALUE"""),"K2")</f>
        <v>K2</v>
      </c>
      <c r="C89" s="2" t="str">
        <f ca="1">IFERROR(__xludf.DUMMYFUNCTION("""COMPUTED_VALUE"""),"Farizki Kurniawan")</f>
        <v>Farizki Kurniawan</v>
      </c>
      <c r="D89" s="52">
        <f ca="1">IFERROR(__xludf.DUMMYFUNCTION("""COMPUTED_VALUE"""),98)</f>
        <v>98</v>
      </c>
      <c r="E89" s="52">
        <f ca="1">IFERROR(__xludf.DUMMYFUNCTION("""COMPUTED_VALUE"""),113)</f>
        <v>113</v>
      </c>
      <c r="F89" s="52">
        <f ca="1">IFERROR(__xludf.DUMMYFUNCTION("""COMPUTED_VALUE"""),110)</f>
        <v>110</v>
      </c>
      <c r="G89" s="52">
        <f ca="1">IFERROR(__xludf.DUMMYFUNCTION("""COMPUTED_VALUE"""),102)</f>
        <v>102</v>
      </c>
      <c r="H89" s="52">
        <f ca="1">IFERROR(__xludf.DUMMYFUNCTION("""COMPUTED_VALUE"""),111)</f>
        <v>111</v>
      </c>
      <c r="I89" s="52">
        <f ca="1">IFERROR(__xludf.DUMMYFUNCTION("""COMPUTED_VALUE"""),90.5)</f>
        <v>90.5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x14ac:dyDescent="0.2">
      <c r="A90" s="2">
        <f ca="1">IFERROR(__xludf.DUMMYFUNCTION("""COMPUTED_VALUE"""),13521084)</f>
        <v>13521084</v>
      </c>
      <c r="B90" s="2" t="str">
        <f ca="1">IFERROR(__xludf.DUMMYFUNCTION("""COMPUTED_VALUE"""),"K2")</f>
        <v>K2</v>
      </c>
      <c r="C90" s="2" t="str">
        <f ca="1">IFERROR(__xludf.DUMMYFUNCTION("""COMPUTED_VALUE"""),"Austin Gabriel Pardosi")</f>
        <v>Austin Gabriel Pardosi</v>
      </c>
      <c r="D90" s="52">
        <f ca="1">IFERROR(__xludf.DUMMYFUNCTION("""COMPUTED_VALUE"""),79)</f>
        <v>79</v>
      </c>
      <c r="E90" s="52">
        <f ca="1">IFERROR(__xludf.DUMMYFUNCTION("""COMPUTED_VALUE"""),115)</f>
        <v>115</v>
      </c>
      <c r="F90" s="52">
        <f ca="1">IFERROR(__xludf.DUMMYFUNCTION("""COMPUTED_VALUE"""),105)</f>
        <v>105</v>
      </c>
      <c r="G90" s="52">
        <f ca="1">IFERROR(__xludf.DUMMYFUNCTION("""COMPUTED_VALUE"""),105)</f>
        <v>105</v>
      </c>
      <c r="H90" s="52">
        <f ca="1">IFERROR(__xludf.DUMMYFUNCTION("""COMPUTED_VALUE"""),108)</f>
        <v>108</v>
      </c>
      <c r="I90" s="52">
        <f ca="1">IFERROR(__xludf.DUMMYFUNCTION("""COMPUTED_VALUE"""),82)</f>
        <v>82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x14ac:dyDescent="0.2">
      <c r="A91" s="2">
        <f ca="1">IFERROR(__xludf.DUMMYFUNCTION("""COMPUTED_VALUE"""),13521086)</f>
        <v>13521086</v>
      </c>
      <c r="B91" s="2" t="str">
        <f ca="1">IFERROR(__xludf.DUMMYFUNCTION("""COMPUTED_VALUE"""),"K2")</f>
        <v>K2</v>
      </c>
      <c r="C91" s="2" t="str">
        <f ca="1">IFERROR(__xludf.DUMMYFUNCTION("""COMPUTED_VALUE"""),"Ariel Jovananda")</f>
        <v>Ariel Jovananda</v>
      </c>
      <c r="D91" s="52">
        <f ca="1">IFERROR(__xludf.DUMMYFUNCTION("""COMPUTED_VALUE"""),94.5)</f>
        <v>94.5</v>
      </c>
      <c r="E91" s="52">
        <f ca="1">IFERROR(__xludf.DUMMYFUNCTION("""COMPUTED_VALUE"""),113)</f>
        <v>113</v>
      </c>
      <c r="F91" s="52">
        <f ca="1">IFERROR(__xludf.DUMMYFUNCTION("""COMPUTED_VALUE"""),94)</f>
        <v>94</v>
      </c>
      <c r="G91" s="52">
        <f ca="1">IFERROR(__xludf.DUMMYFUNCTION("""COMPUTED_VALUE"""),93)</f>
        <v>93</v>
      </c>
      <c r="H91" s="52">
        <f ca="1">IFERROR(__xludf.DUMMYFUNCTION("""COMPUTED_VALUE"""),107)</f>
        <v>107</v>
      </c>
      <c r="I91" s="52">
        <f ca="1">IFERROR(__xludf.DUMMYFUNCTION("""COMPUTED_VALUE"""),97)</f>
        <v>97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x14ac:dyDescent="0.2">
      <c r="A92" s="2">
        <f ca="1">IFERROR(__xludf.DUMMYFUNCTION("""COMPUTED_VALUE"""),13521088)</f>
        <v>13521088</v>
      </c>
      <c r="B92" s="2" t="str">
        <f ca="1">IFERROR(__xludf.DUMMYFUNCTION("""COMPUTED_VALUE"""),"K2")</f>
        <v>K2</v>
      </c>
      <c r="C92" s="2" t="str">
        <f ca="1">IFERROR(__xludf.DUMMYFUNCTION("""COMPUTED_VALUE"""),"Puti Nabilla Aidira")</f>
        <v>Puti Nabilla Aidira</v>
      </c>
      <c r="D92" s="52">
        <f ca="1">IFERROR(__xludf.DUMMYFUNCTION("""COMPUTED_VALUE"""),94)</f>
        <v>94</v>
      </c>
      <c r="E92" s="52">
        <f ca="1">IFERROR(__xludf.DUMMYFUNCTION("""COMPUTED_VALUE"""),115)</f>
        <v>115</v>
      </c>
      <c r="F92" s="52">
        <f ca="1">IFERROR(__xludf.DUMMYFUNCTION("""COMPUTED_VALUE"""),104)</f>
        <v>104</v>
      </c>
      <c r="G92" s="52">
        <f ca="1">IFERROR(__xludf.DUMMYFUNCTION("""COMPUTED_VALUE"""),110)</f>
        <v>110</v>
      </c>
      <c r="H92" s="52">
        <f ca="1">IFERROR(__xludf.DUMMYFUNCTION("""COMPUTED_VALUE"""),109)</f>
        <v>109</v>
      </c>
      <c r="I92" s="52">
        <f ca="1">IFERROR(__xludf.DUMMYFUNCTION("""COMPUTED_VALUE"""),105.5)</f>
        <v>105.5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x14ac:dyDescent="0.2">
      <c r="A93" s="2">
        <f ca="1">IFERROR(__xludf.DUMMYFUNCTION("""COMPUTED_VALUE"""),13521090)</f>
        <v>13521090</v>
      </c>
      <c r="B93" s="2" t="str">
        <f ca="1">IFERROR(__xludf.DUMMYFUNCTION("""COMPUTED_VALUE"""),"K2")</f>
        <v>K2</v>
      </c>
      <c r="C93" s="2" t="str">
        <f ca="1">IFERROR(__xludf.DUMMYFUNCTION("""COMPUTED_VALUE"""),"Tobias Natalio Sianipar")</f>
        <v>Tobias Natalio Sianipar</v>
      </c>
      <c r="D93" s="52">
        <f ca="1">IFERROR(__xludf.DUMMYFUNCTION("""COMPUTED_VALUE"""),86.5)</f>
        <v>86.5</v>
      </c>
      <c r="E93" s="52">
        <f ca="1">IFERROR(__xludf.DUMMYFUNCTION("""COMPUTED_VALUE"""),109)</f>
        <v>109</v>
      </c>
      <c r="F93" s="52">
        <f ca="1">IFERROR(__xludf.DUMMYFUNCTION("""COMPUTED_VALUE"""),108)</f>
        <v>108</v>
      </c>
      <c r="G93" s="52">
        <f ca="1">IFERROR(__xludf.DUMMYFUNCTION("""COMPUTED_VALUE"""),97)</f>
        <v>97</v>
      </c>
      <c r="H93" s="52">
        <f ca="1">IFERROR(__xludf.DUMMYFUNCTION("""COMPUTED_VALUE"""),107)</f>
        <v>107</v>
      </c>
      <c r="I93" s="52">
        <f ca="1">IFERROR(__xludf.DUMMYFUNCTION("""COMPUTED_VALUE"""),94.5)</f>
        <v>94.5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x14ac:dyDescent="0.2">
      <c r="A94" s="2">
        <f ca="1">IFERROR(__xludf.DUMMYFUNCTION("""COMPUTED_VALUE"""),13521092)</f>
        <v>13521092</v>
      </c>
      <c r="B94" s="2" t="str">
        <f ca="1">IFERROR(__xludf.DUMMYFUNCTION("""COMPUTED_VALUE"""),"K2")</f>
        <v>K2</v>
      </c>
      <c r="C94" s="2" t="str">
        <f ca="1">IFERROR(__xludf.DUMMYFUNCTION("""COMPUTED_VALUE"""),"Frankie Huang")</f>
        <v>Frankie Huang</v>
      </c>
      <c r="D94" s="52">
        <f ca="1">IFERROR(__xludf.DUMMYFUNCTION("""COMPUTED_VALUE"""),86)</f>
        <v>86</v>
      </c>
      <c r="E94" s="52">
        <f ca="1">IFERROR(__xludf.DUMMYFUNCTION("""COMPUTED_VALUE"""),115)</f>
        <v>115</v>
      </c>
      <c r="F94" s="52">
        <f ca="1">IFERROR(__xludf.DUMMYFUNCTION("""COMPUTED_VALUE"""),110)</f>
        <v>110</v>
      </c>
      <c r="G94" s="52">
        <f ca="1">IFERROR(__xludf.DUMMYFUNCTION("""COMPUTED_VALUE"""),107)</f>
        <v>107</v>
      </c>
      <c r="H94" s="52">
        <f ca="1">IFERROR(__xludf.DUMMYFUNCTION("""COMPUTED_VALUE"""),109)</f>
        <v>109</v>
      </c>
      <c r="I94" s="52">
        <f ca="1">IFERROR(__xludf.DUMMYFUNCTION("""COMPUTED_VALUE"""),90.5)</f>
        <v>90.5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x14ac:dyDescent="0.2">
      <c r="A95" s="2">
        <f ca="1">IFERROR(__xludf.DUMMYFUNCTION("""COMPUTED_VALUE"""),13521094)</f>
        <v>13521094</v>
      </c>
      <c r="B95" s="2" t="str">
        <f ca="1">IFERROR(__xludf.DUMMYFUNCTION("""COMPUTED_VALUE"""),"K2")</f>
        <v>K2</v>
      </c>
      <c r="C95" s="2" t="str">
        <f ca="1">IFERROR(__xludf.DUMMYFUNCTION("""COMPUTED_VALUE"""),"Angela Livia Arumsari")</f>
        <v>Angela Livia Arumsari</v>
      </c>
      <c r="D95" s="52">
        <f ca="1">IFERROR(__xludf.DUMMYFUNCTION("""COMPUTED_VALUE"""),98.5)</f>
        <v>98.5</v>
      </c>
      <c r="E95" s="52">
        <f ca="1">IFERROR(__xludf.DUMMYFUNCTION("""COMPUTED_VALUE"""),113)</f>
        <v>113</v>
      </c>
      <c r="F95" s="52">
        <f ca="1">IFERROR(__xludf.DUMMYFUNCTION("""COMPUTED_VALUE"""),106)</f>
        <v>106</v>
      </c>
      <c r="G95" s="52">
        <f ca="1">IFERROR(__xludf.DUMMYFUNCTION("""COMPUTED_VALUE"""),102)</f>
        <v>102</v>
      </c>
      <c r="H95" s="52">
        <f ca="1">IFERROR(__xludf.DUMMYFUNCTION("""COMPUTED_VALUE"""),112)</f>
        <v>112</v>
      </c>
      <c r="I95" s="52">
        <f ca="1">IFERROR(__xludf.DUMMYFUNCTION("""COMPUTED_VALUE"""),110)</f>
        <v>110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x14ac:dyDescent="0.2">
      <c r="A96" s="2">
        <f ca="1">IFERROR(__xludf.DUMMYFUNCTION("""COMPUTED_VALUE"""),13521096)</f>
        <v>13521096</v>
      </c>
      <c r="B96" s="2" t="str">
        <f ca="1">IFERROR(__xludf.DUMMYFUNCTION("""COMPUTED_VALUE"""),"K2")</f>
        <v>K2</v>
      </c>
      <c r="C96" s="2" t="str">
        <f ca="1">IFERROR(__xludf.DUMMYFUNCTION("""COMPUTED_VALUE"""),"Noel Christoffel Simbolon")</f>
        <v>Noel Christoffel Simbolon</v>
      </c>
      <c r="D96" s="52">
        <f ca="1">IFERROR(__xludf.DUMMYFUNCTION("""COMPUTED_VALUE"""),95.5)</f>
        <v>95.5</v>
      </c>
      <c r="E96" s="52">
        <f ca="1">IFERROR(__xludf.DUMMYFUNCTION("""COMPUTED_VALUE"""),115)</f>
        <v>115</v>
      </c>
      <c r="F96" s="52">
        <f ca="1">IFERROR(__xludf.DUMMYFUNCTION("""COMPUTED_VALUE"""),105)</f>
        <v>105</v>
      </c>
      <c r="G96" s="52">
        <f ca="1">IFERROR(__xludf.DUMMYFUNCTION("""COMPUTED_VALUE"""),100)</f>
        <v>100</v>
      </c>
      <c r="H96" s="52">
        <f ca="1">IFERROR(__xludf.DUMMYFUNCTION("""COMPUTED_VALUE"""),108)</f>
        <v>108</v>
      </c>
      <c r="I96" s="52">
        <f ca="1">IFERROR(__xludf.DUMMYFUNCTION("""COMPUTED_VALUE"""),108)</f>
        <v>108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x14ac:dyDescent="0.2">
      <c r="A97" s="2">
        <f ca="1">IFERROR(__xludf.DUMMYFUNCTION("""COMPUTED_VALUE"""),13521098)</f>
        <v>13521098</v>
      </c>
      <c r="B97" s="2" t="str">
        <f ca="1">IFERROR(__xludf.DUMMYFUNCTION("""COMPUTED_VALUE"""),"K2")</f>
        <v>K2</v>
      </c>
      <c r="C97" s="2" t="str">
        <f ca="1">IFERROR(__xludf.DUMMYFUNCTION("""COMPUTED_VALUE"""),"Fazel Ginanda")</f>
        <v>Fazel Ginanda</v>
      </c>
      <c r="D97" s="52">
        <f ca="1">IFERROR(__xludf.DUMMYFUNCTION("""COMPUTED_VALUE"""),0)</f>
        <v>0</v>
      </c>
      <c r="E97" s="52">
        <f ca="1">IFERROR(__xludf.DUMMYFUNCTION("""COMPUTED_VALUE"""),73)</f>
        <v>73</v>
      </c>
      <c r="F97" s="52">
        <f ca="1">IFERROR(__xludf.DUMMYFUNCTION("""COMPUTED_VALUE"""),99)</f>
        <v>99</v>
      </c>
      <c r="G97" s="52">
        <f ca="1">IFERROR(__xludf.DUMMYFUNCTION("""COMPUTED_VALUE"""),100)</f>
        <v>100</v>
      </c>
      <c r="H97" s="52">
        <f ca="1">IFERROR(__xludf.DUMMYFUNCTION("""COMPUTED_VALUE"""),102)</f>
        <v>102</v>
      </c>
      <c r="I97" s="52">
        <f ca="1">IFERROR(__xludf.DUMMYFUNCTION("""COMPUTED_VALUE"""),76)</f>
        <v>76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x14ac:dyDescent="0.2">
      <c r="A98" s="2">
        <f ca="1">IFERROR(__xludf.DUMMYFUNCTION("""COMPUTED_VALUE"""),13521100)</f>
        <v>13521100</v>
      </c>
      <c r="B98" s="2" t="str">
        <f ca="1">IFERROR(__xludf.DUMMYFUNCTION("""COMPUTED_VALUE"""),"K2")</f>
        <v>K2</v>
      </c>
      <c r="C98" s="2" t="str">
        <f ca="1">IFERROR(__xludf.DUMMYFUNCTION("""COMPUTED_VALUE"""),"Alexander Jason")</f>
        <v>Alexander Jason</v>
      </c>
      <c r="D98" s="52">
        <f ca="1">IFERROR(__xludf.DUMMYFUNCTION("""COMPUTED_VALUE"""),98.5)</f>
        <v>98.5</v>
      </c>
      <c r="E98" s="52">
        <f ca="1">IFERROR(__xludf.DUMMYFUNCTION("""COMPUTED_VALUE"""),111)</f>
        <v>111</v>
      </c>
      <c r="F98" s="52">
        <f ca="1">IFERROR(__xludf.DUMMYFUNCTION("""COMPUTED_VALUE"""),107)</f>
        <v>107</v>
      </c>
      <c r="G98" s="52">
        <f ca="1">IFERROR(__xludf.DUMMYFUNCTION("""COMPUTED_VALUE"""),102)</f>
        <v>102</v>
      </c>
      <c r="H98" s="52">
        <f ca="1">IFERROR(__xludf.DUMMYFUNCTION("""COMPUTED_VALUE"""),112)</f>
        <v>112</v>
      </c>
      <c r="I98" s="52">
        <f ca="1">IFERROR(__xludf.DUMMYFUNCTION("""COMPUTED_VALUE"""),108.5)</f>
        <v>108.5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x14ac:dyDescent="0.2">
      <c r="A99" s="2">
        <f ca="1">IFERROR(__xludf.DUMMYFUNCTION("""COMPUTED_VALUE"""),13521102)</f>
        <v>13521102</v>
      </c>
      <c r="B99" s="2" t="str">
        <f ca="1">IFERROR(__xludf.DUMMYFUNCTION("""COMPUTED_VALUE"""),"K2")</f>
        <v>K2</v>
      </c>
      <c r="C99" s="2" t="str">
        <f ca="1">IFERROR(__xludf.DUMMYFUNCTION("""COMPUTED_VALUE"""),"Jimly Firdaus")</f>
        <v>Jimly Firdaus</v>
      </c>
      <c r="D99" s="52">
        <f ca="1">IFERROR(__xludf.DUMMYFUNCTION("""COMPUTED_VALUE"""),84)</f>
        <v>84</v>
      </c>
      <c r="E99" s="52">
        <f ca="1">IFERROR(__xludf.DUMMYFUNCTION("""COMPUTED_VALUE"""),111)</f>
        <v>111</v>
      </c>
      <c r="F99" s="52">
        <f ca="1">IFERROR(__xludf.DUMMYFUNCTION("""COMPUTED_VALUE"""),109)</f>
        <v>109</v>
      </c>
      <c r="G99" s="52">
        <f ca="1">IFERROR(__xludf.DUMMYFUNCTION("""COMPUTED_VALUE"""),102)</f>
        <v>102</v>
      </c>
      <c r="H99" s="52">
        <f ca="1">IFERROR(__xludf.DUMMYFUNCTION("""COMPUTED_VALUE"""),113)</f>
        <v>113</v>
      </c>
      <c r="I99" s="52">
        <f ca="1">IFERROR(__xludf.DUMMYFUNCTION("""COMPUTED_VALUE"""),102.5)</f>
        <v>102.5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x14ac:dyDescent="0.2">
      <c r="A100" s="2">
        <f ca="1">IFERROR(__xludf.DUMMYFUNCTION("""COMPUTED_VALUE"""),13521104)</f>
        <v>13521104</v>
      </c>
      <c r="B100" s="2" t="str">
        <f ca="1">IFERROR(__xludf.DUMMYFUNCTION("""COMPUTED_VALUE"""),"K2")</f>
        <v>K2</v>
      </c>
      <c r="C100" s="2" t="str">
        <f ca="1">IFERROR(__xludf.DUMMYFUNCTION("""COMPUTED_VALUE"""),"Muhammad Zaydan Athallah")</f>
        <v>Muhammad Zaydan Athallah</v>
      </c>
      <c r="D100" s="52">
        <f ca="1">IFERROR(__xludf.DUMMYFUNCTION("""COMPUTED_VALUE"""),94.5)</f>
        <v>94.5</v>
      </c>
      <c r="E100" s="52">
        <f ca="1">IFERROR(__xludf.DUMMYFUNCTION("""COMPUTED_VALUE"""),113)</f>
        <v>113</v>
      </c>
      <c r="F100" s="52">
        <f ca="1">IFERROR(__xludf.DUMMYFUNCTION("""COMPUTED_VALUE"""),110)</f>
        <v>110</v>
      </c>
      <c r="G100" s="52">
        <f ca="1">IFERROR(__xludf.DUMMYFUNCTION("""COMPUTED_VALUE"""),101)</f>
        <v>101</v>
      </c>
      <c r="H100" s="52">
        <f ca="1">IFERROR(__xludf.DUMMYFUNCTION("""COMPUTED_VALUE"""),112.5)</f>
        <v>112.5</v>
      </c>
      <c r="I100" s="52">
        <f ca="1">IFERROR(__xludf.DUMMYFUNCTION("""COMPUTED_VALUE"""),98.5)</f>
        <v>98.5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x14ac:dyDescent="0.2">
      <c r="A101" s="2">
        <f ca="1">IFERROR(__xludf.DUMMYFUNCTION("""COMPUTED_VALUE"""),13521106)</f>
        <v>13521106</v>
      </c>
      <c r="B101" s="2" t="str">
        <f ca="1">IFERROR(__xludf.DUMMYFUNCTION("""COMPUTED_VALUE"""),"K2")</f>
        <v>K2</v>
      </c>
      <c r="C101" s="2" t="str">
        <f ca="1">IFERROR(__xludf.DUMMYFUNCTION("""COMPUTED_VALUE"""),"Mohammad Farhan Fahrezy")</f>
        <v>Mohammad Farhan Fahrezy</v>
      </c>
      <c r="D101" s="52">
        <f ca="1">IFERROR(__xludf.DUMMYFUNCTION("""COMPUTED_VALUE"""),92)</f>
        <v>92</v>
      </c>
      <c r="E101" s="52">
        <f ca="1">IFERROR(__xludf.DUMMYFUNCTION("""COMPUTED_VALUE"""),115)</f>
        <v>115</v>
      </c>
      <c r="F101" s="52">
        <f ca="1">IFERROR(__xludf.DUMMYFUNCTION("""COMPUTED_VALUE"""),106)</f>
        <v>106</v>
      </c>
      <c r="G101" s="52">
        <f ca="1">IFERROR(__xludf.DUMMYFUNCTION("""COMPUTED_VALUE"""),98)</f>
        <v>98</v>
      </c>
      <c r="H101" s="52">
        <f ca="1">IFERROR(__xludf.DUMMYFUNCTION("""COMPUTED_VALUE"""),108)</f>
        <v>108</v>
      </c>
      <c r="I101" s="52">
        <f ca="1">IFERROR(__xludf.DUMMYFUNCTION("""COMPUTED_VALUE"""),101.5)</f>
        <v>101.5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x14ac:dyDescent="0.2">
      <c r="A102" s="2">
        <f ca="1">IFERROR(__xludf.DUMMYFUNCTION("""COMPUTED_VALUE"""),13521108)</f>
        <v>13521108</v>
      </c>
      <c r="B102" s="2" t="str">
        <f ca="1">IFERROR(__xludf.DUMMYFUNCTION("""COMPUTED_VALUE"""),"K2")</f>
        <v>K2</v>
      </c>
      <c r="C102" s="2" t="str">
        <f ca="1">IFERROR(__xludf.DUMMYFUNCTION("""COMPUTED_VALUE"""),"Michael Leon Putra Widhi")</f>
        <v>Michael Leon Putra Widhi</v>
      </c>
      <c r="D102" s="52">
        <f ca="1">IFERROR(__xludf.DUMMYFUNCTION("""COMPUTED_VALUE"""),98)</f>
        <v>98</v>
      </c>
      <c r="E102" s="52">
        <f ca="1">IFERROR(__xludf.DUMMYFUNCTION("""COMPUTED_VALUE"""),114)</f>
        <v>114</v>
      </c>
      <c r="F102" s="52">
        <f ca="1">IFERROR(__xludf.DUMMYFUNCTION("""COMPUTED_VALUE"""),110)</f>
        <v>110</v>
      </c>
      <c r="G102" s="52">
        <f ca="1">IFERROR(__xludf.DUMMYFUNCTION("""COMPUTED_VALUE"""),105)</f>
        <v>105</v>
      </c>
      <c r="H102" s="52">
        <f ca="1">IFERROR(__xludf.DUMMYFUNCTION("""COMPUTED_VALUE"""),107)</f>
        <v>107</v>
      </c>
      <c r="I102" s="52">
        <f ca="1">IFERROR(__xludf.DUMMYFUNCTION("""COMPUTED_VALUE"""),106.5)</f>
        <v>106.5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x14ac:dyDescent="0.2">
      <c r="A103" s="2">
        <f ca="1">IFERROR(__xludf.DUMMYFUNCTION("""COMPUTED_VALUE"""),13521110)</f>
        <v>13521110</v>
      </c>
      <c r="B103" s="2" t="str">
        <f ca="1">IFERROR(__xludf.DUMMYFUNCTION("""COMPUTED_VALUE"""),"K2")</f>
        <v>K2</v>
      </c>
      <c r="C103" s="2" t="str">
        <f ca="1">IFERROR(__xludf.DUMMYFUNCTION("""COMPUTED_VALUE"""),"Yanuar Sano Nur Rasyid")</f>
        <v>Yanuar Sano Nur Rasyid</v>
      </c>
      <c r="D103" s="52">
        <f ca="1">IFERROR(__xludf.DUMMYFUNCTION("""COMPUTED_VALUE"""),97.5)</f>
        <v>97.5</v>
      </c>
      <c r="E103" s="52">
        <f ca="1">IFERROR(__xludf.DUMMYFUNCTION("""COMPUTED_VALUE"""),113)</f>
        <v>113</v>
      </c>
      <c r="F103" s="52">
        <f ca="1">IFERROR(__xludf.DUMMYFUNCTION("""COMPUTED_VALUE"""),105)</f>
        <v>105</v>
      </c>
      <c r="G103" s="52">
        <f ca="1">IFERROR(__xludf.DUMMYFUNCTION("""COMPUTED_VALUE"""),104)</f>
        <v>104</v>
      </c>
      <c r="H103" s="52">
        <f ca="1">IFERROR(__xludf.DUMMYFUNCTION("""COMPUTED_VALUE"""),97)</f>
        <v>97</v>
      </c>
      <c r="I103" s="52">
        <f ca="1">IFERROR(__xludf.DUMMYFUNCTION("""COMPUTED_VALUE"""),96.5)</f>
        <v>96.5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x14ac:dyDescent="0.2">
      <c r="A104" s="2">
        <f ca="1">IFERROR(__xludf.DUMMYFUNCTION("""COMPUTED_VALUE"""),13521112)</f>
        <v>13521112</v>
      </c>
      <c r="B104" s="2" t="str">
        <f ca="1">IFERROR(__xludf.DUMMYFUNCTION("""COMPUTED_VALUE"""),"K2")</f>
        <v>K2</v>
      </c>
      <c r="C104" s="2" t="str">
        <f ca="1">IFERROR(__xludf.DUMMYFUNCTION("""COMPUTED_VALUE"""),"Rayhan Hanif Maulana Pradana")</f>
        <v>Rayhan Hanif Maulana Pradana</v>
      </c>
      <c r="D104" s="52">
        <f ca="1">IFERROR(__xludf.DUMMYFUNCTION("""COMPUTED_VALUE"""),88)</f>
        <v>88</v>
      </c>
      <c r="E104" s="52">
        <f ca="1">IFERROR(__xludf.DUMMYFUNCTION("""COMPUTED_VALUE"""),114)</f>
        <v>114</v>
      </c>
      <c r="F104" s="52">
        <f ca="1">IFERROR(__xludf.DUMMYFUNCTION("""COMPUTED_VALUE"""),104)</f>
        <v>104</v>
      </c>
      <c r="G104" s="52">
        <f ca="1">IFERROR(__xludf.DUMMYFUNCTION("""COMPUTED_VALUE"""),100)</f>
        <v>100</v>
      </c>
      <c r="H104" s="52">
        <f ca="1">IFERROR(__xludf.DUMMYFUNCTION("""COMPUTED_VALUE"""),94)</f>
        <v>94</v>
      </c>
      <c r="I104" s="52">
        <f ca="1">IFERROR(__xludf.DUMMYFUNCTION("""COMPUTED_VALUE"""),96.5)</f>
        <v>96.5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x14ac:dyDescent="0.2">
      <c r="A105" s="2">
        <f ca="1">IFERROR(__xludf.DUMMYFUNCTION("""COMPUTED_VALUE"""),13521114)</f>
        <v>13521114</v>
      </c>
      <c r="B105" s="2" t="str">
        <f ca="1">IFERROR(__xludf.DUMMYFUNCTION("""COMPUTED_VALUE"""),"K2")</f>
        <v>K2</v>
      </c>
      <c r="C105" s="2" t="str">
        <f ca="1">IFERROR(__xludf.DUMMYFUNCTION("""COMPUTED_VALUE"""),"Farhan Nabil Suryono")</f>
        <v>Farhan Nabil Suryono</v>
      </c>
      <c r="D105" s="52">
        <f ca="1">IFERROR(__xludf.DUMMYFUNCTION("""COMPUTED_VALUE"""),98)</f>
        <v>98</v>
      </c>
      <c r="E105" s="52">
        <f ca="1">IFERROR(__xludf.DUMMYFUNCTION("""COMPUTED_VALUE"""),114)</f>
        <v>114</v>
      </c>
      <c r="F105" s="52">
        <f ca="1">IFERROR(__xludf.DUMMYFUNCTION("""COMPUTED_VALUE"""),105)</f>
        <v>105</v>
      </c>
      <c r="G105" s="52">
        <f ca="1">IFERROR(__xludf.DUMMYFUNCTION("""COMPUTED_VALUE"""),105)</f>
        <v>105</v>
      </c>
      <c r="H105" s="52">
        <f ca="1">IFERROR(__xludf.DUMMYFUNCTION("""COMPUTED_VALUE"""),112)</f>
        <v>112</v>
      </c>
      <c r="I105" s="52">
        <f ca="1">IFERROR(__xludf.DUMMYFUNCTION("""COMPUTED_VALUE"""),108.5)</f>
        <v>108.5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x14ac:dyDescent="0.2">
      <c r="A106" s="2">
        <f ca="1">IFERROR(__xludf.DUMMYFUNCTION("""COMPUTED_VALUE"""),13521116)</f>
        <v>13521116</v>
      </c>
      <c r="B106" s="2" t="str">
        <f ca="1">IFERROR(__xludf.DUMMYFUNCTION("""COMPUTED_VALUE"""),"K2")</f>
        <v>K2</v>
      </c>
      <c r="C106" s="2" t="str">
        <f ca="1">IFERROR(__xludf.DUMMYFUNCTION("""COMPUTED_VALUE"""),"Juan Christopher Santoso")</f>
        <v>Juan Christopher Santoso</v>
      </c>
      <c r="D106" s="52">
        <f ca="1">IFERROR(__xludf.DUMMYFUNCTION("""COMPUTED_VALUE"""),97.5)</f>
        <v>97.5</v>
      </c>
      <c r="E106" s="52">
        <f ca="1">IFERROR(__xludf.DUMMYFUNCTION("""COMPUTED_VALUE"""),114)</f>
        <v>114</v>
      </c>
      <c r="F106" s="52">
        <f ca="1">IFERROR(__xludf.DUMMYFUNCTION("""COMPUTED_VALUE"""),99)</f>
        <v>99</v>
      </c>
      <c r="G106" s="52">
        <f ca="1">IFERROR(__xludf.DUMMYFUNCTION("""COMPUTED_VALUE"""),105)</f>
        <v>105</v>
      </c>
      <c r="H106" s="52">
        <f ca="1">IFERROR(__xludf.DUMMYFUNCTION("""COMPUTED_VALUE"""),111)</f>
        <v>111</v>
      </c>
      <c r="I106" s="52">
        <f ca="1">IFERROR(__xludf.DUMMYFUNCTION("""COMPUTED_VALUE"""),110)</f>
        <v>110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x14ac:dyDescent="0.2">
      <c r="A107" s="2">
        <f ca="1">IFERROR(__xludf.DUMMYFUNCTION("""COMPUTED_VALUE"""),13521118)</f>
        <v>13521118</v>
      </c>
      <c r="B107" s="2" t="str">
        <f ca="1">IFERROR(__xludf.DUMMYFUNCTION("""COMPUTED_VALUE"""),"K2")</f>
        <v>K2</v>
      </c>
      <c r="C107" s="2" t="str">
        <f ca="1">IFERROR(__xludf.DUMMYFUNCTION("""COMPUTED_VALUE"""),"Ahmad Ghulam Ilham")</f>
        <v>Ahmad Ghulam Ilham</v>
      </c>
      <c r="D107" s="52">
        <f ca="1">IFERROR(__xludf.DUMMYFUNCTION("""COMPUTED_VALUE"""),12.5)</f>
        <v>12.5</v>
      </c>
      <c r="E107" s="52">
        <f ca="1">IFERROR(__xludf.DUMMYFUNCTION("""COMPUTED_VALUE"""),107.5)</f>
        <v>107.5</v>
      </c>
      <c r="F107" s="52">
        <f ca="1">IFERROR(__xludf.DUMMYFUNCTION("""COMPUTED_VALUE"""),103)</f>
        <v>103</v>
      </c>
      <c r="G107" s="52">
        <f ca="1">IFERROR(__xludf.DUMMYFUNCTION("""COMPUTED_VALUE"""),100)</f>
        <v>100</v>
      </c>
      <c r="H107" s="52">
        <f ca="1">IFERROR(__xludf.DUMMYFUNCTION("""COMPUTED_VALUE"""),94)</f>
        <v>94</v>
      </c>
      <c r="I107" s="52">
        <f ca="1">IFERROR(__xludf.DUMMYFUNCTION("""COMPUTED_VALUE"""),84)</f>
        <v>84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x14ac:dyDescent="0.2">
      <c r="A108" s="2">
        <f ca="1">IFERROR(__xludf.DUMMYFUNCTION("""COMPUTED_VALUE"""),13521120)</f>
        <v>13521120</v>
      </c>
      <c r="B108" s="2" t="str">
        <f ca="1">IFERROR(__xludf.DUMMYFUNCTION("""COMPUTED_VALUE"""),"K2")</f>
        <v>K2</v>
      </c>
      <c r="C108" s="2" t="str">
        <f ca="1">IFERROR(__xludf.DUMMYFUNCTION("""COMPUTED_VALUE"""),"Febryan Arota Hia")</f>
        <v>Febryan Arota Hia</v>
      </c>
      <c r="D108" s="52">
        <f ca="1">IFERROR(__xludf.DUMMYFUNCTION("""COMPUTED_VALUE"""),94.5)</f>
        <v>94.5</v>
      </c>
      <c r="E108" s="52">
        <f ca="1">IFERROR(__xludf.DUMMYFUNCTION("""COMPUTED_VALUE"""),113)</f>
        <v>113</v>
      </c>
      <c r="F108" s="52">
        <f ca="1">IFERROR(__xludf.DUMMYFUNCTION("""COMPUTED_VALUE"""),105)</f>
        <v>105</v>
      </c>
      <c r="G108" s="52">
        <f ca="1">IFERROR(__xludf.DUMMYFUNCTION("""COMPUTED_VALUE"""),100)</f>
        <v>100</v>
      </c>
      <c r="H108" s="52">
        <f ca="1">IFERROR(__xludf.DUMMYFUNCTION("""COMPUTED_VALUE"""),112)</f>
        <v>112</v>
      </c>
      <c r="I108" s="52">
        <f ca="1">IFERROR(__xludf.DUMMYFUNCTION("""COMPUTED_VALUE"""),103.5)</f>
        <v>103.5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x14ac:dyDescent="0.2">
      <c r="A109" s="2">
        <f ca="1">IFERROR(__xludf.DUMMYFUNCTION("""COMPUTED_VALUE"""),13521122)</f>
        <v>13521122</v>
      </c>
      <c r="B109" s="2" t="str">
        <f ca="1">IFERROR(__xludf.DUMMYFUNCTION("""COMPUTED_VALUE"""),"K2")</f>
        <v>K2</v>
      </c>
      <c r="C109" s="2" t="str">
        <f ca="1">IFERROR(__xludf.DUMMYFUNCTION("""COMPUTED_VALUE"""),"Ulung Adi Putra")</f>
        <v>Ulung Adi Putra</v>
      </c>
      <c r="D109" s="52">
        <f ca="1">IFERROR(__xludf.DUMMYFUNCTION("""COMPUTED_VALUE"""),97)</f>
        <v>97</v>
      </c>
      <c r="E109" s="52">
        <f ca="1">IFERROR(__xludf.DUMMYFUNCTION("""COMPUTED_VALUE"""),114)</f>
        <v>114</v>
      </c>
      <c r="F109" s="52">
        <f ca="1">IFERROR(__xludf.DUMMYFUNCTION("""COMPUTED_VALUE"""),107)</f>
        <v>107</v>
      </c>
      <c r="G109" s="52">
        <f ca="1">IFERROR(__xludf.DUMMYFUNCTION("""COMPUTED_VALUE"""),92)</f>
        <v>92</v>
      </c>
      <c r="H109" s="52">
        <f ca="1">IFERROR(__xludf.DUMMYFUNCTION("""COMPUTED_VALUE"""),105)</f>
        <v>105</v>
      </c>
      <c r="I109" s="52">
        <f ca="1">IFERROR(__xludf.DUMMYFUNCTION("""COMPUTED_VALUE"""),105.5)</f>
        <v>105.5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x14ac:dyDescent="0.2">
      <c r="A110" s="2">
        <f ca="1">IFERROR(__xludf.DUMMYFUNCTION("""COMPUTED_VALUE"""),13521124)</f>
        <v>13521124</v>
      </c>
      <c r="B110" s="2" t="str">
        <f ca="1">IFERROR(__xludf.DUMMYFUNCTION("""COMPUTED_VALUE"""),"K2")</f>
        <v>K2</v>
      </c>
      <c r="C110" s="2" t="str">
        <f ca="1">IFERROR(__xludf.DUMMYFUNCTION("""COMPUTED_VALUE"""),"Michael Jonathan Halim")</f>
        <v>Michael Jonathan Halim</v>
      </c>
      <c r="D110" s="52">
        <f ca="1">IFERROR(__xludf.DUMMYFUNCTION("""COMPUTED_VALUE"""),97.5)</f>
        <v>97.5</v>
      </c>
      <c r="E110" s="52">
        <f ca="1">IFERROR(__xludf.DUMMYFUNCTION("""COMPUTED_VALUE"""),115)</f>
        <v>115</v>
      </c>
      <c r="F110" s="52">
        <f ca="1">IFERROR(__xludf.DUMMYFUNCTION("""COMPUTED_VALUE"""),108)</f>
        <v>108</v>
      </c>
      <c r="G110" s="52">
        <f ca="1">IFERROR(__xludf.DUMMYFUNCTION("""COMPUTED_VALUE"""),108)</f>
        <v>108</v>
      </c>
      <c r="H110" s="52">
        <f ca="1">IFERROR(__xludf.DUMMYFUNCTION("""COMPUTED_VALUE"""),105.5)</f>
        <v>105.5</v>
      </c>
      <c r="I110" s="52">
        <f ca="1">IFERROR(__xludf.DUMMYFUNCTION("""COMPUTED_VALUE"""),108)</f>
        <v>108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x14ac:dyDescent="0.2">
      <c r="A111" s="2">
        <f ca="1">IFERROR(__xludf.DUMMYFUNCTION("""COMPUTED_VALUE"""),13521128)</f>
        <v>13521128</v>
      </c>
      <c r="B111" s="2" t="str">
        <f ca="1">IFERROR(__xludf.DUMMYFUNCTION("""COMPUTED_VALUE"""),"K2")</f>
        <v>K2</v>
      </c>
      <c r="C111" s="2" t="str">
        <f ca="1">IFERROR(__xludf.DUMMYFUNCTION("""COMPUTED_VALUE"""),"Muhammad Abdul Aziz Ghazali")</f>
        <v>Muhammad Abdul Aziz Ghazali</v>
      </c>
      <c r="D111" s="52">
        <f ca="1">IFERROR(__xludf.DUMMYFUNCTION("""COMPUTED_VALUE"""),87.5)</f>
        <v>87.5</v>
      </c>
      <c r="E111" s="52">
        <f ca="1">IFERROR(__xludf.DUMMYFUNCTION("""COMPUTED_VALUE"""),115)</f>
        <v>115</v>
      </c>
      <c r="F111" s="52">
        <f ca="1">IFERROR(__xludf.DUMMYFUNCTION("""COMPUTED_VALUE"""),107)</f>
        <v>107</v>
      </c>
      <c r="G111" s="52">
        <f ca="1">IFERROR(__xludf.DUMMYFUNCTION("""COMPUTED_VALUE"""),98)</f>
        <v>98</v>
      </c>
      <c r="H111" s="52">
        <f ca="1">IFERROR(__xludf.DUMMYFUNCTION("""COMPUTED_VALUE"""),111)</f>
        <v>111</v>
      </c>
      <c r="I111" s="52">
        <f ca="1">IFERROR(__xludf.DUMMYFUNCTION("""COMPUTED_VALUE"""),88.5)</f>
        <v>88.5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x14ac:dyDescent="0.2">
      <c r="A112" s="2">
        <f ca="1">IFERROR(__xludf.DUMMYFUNCTION("""COMPUTED_VALUE"""),13521130)</f>
        <v>13521130</v>
      </c>
      <c r="B112" s="2" t="str">
        <f ca="1">IFERROR(__xludf.DUMMYFUNCTION("""COMPUTED_VALUE"""),"K2")</f>
        <v>K2</v>
      </c>
      <c r="C112" s="2" t="str">
        <f ca="1">IFERROR(__xludf.DUMMYFUNCTION("""COMPUTED_VALUE"""),"Althaaf Khasyi Atisomya")</f>
        <v>Althaaf Khasyi Atisomya</v>
      </c>
      <c r="D112" s="52">
        <f ca="1">IFERROR(__xludf.DUMMYFUNCTION("""COMPUTED_VALUE"""),97.5)</f>
        <v>97.5</v>
      </c>
      <c r="E112" s="52">
        <f ca="1">IFERROR(__xludf.DUMMYFUNCTION("""COMPUTED_VALUE"""),115)</f>
        <v>115</v>
      </c>
      <c r="F112" s="52">
        <f ca="1">IFERROR(__xludf.DUMMYFUNCTION("""COMPUTED_VALUE"""),105)</f>
        <v>105</v>
      </c>
      <c r="G112" s="52">
        <f ca="1">IFERROR(__xludf.DUMMYFUNCTION("""COMPUTED_VALUE"""),110)</f>
        <v>110</v>
      </c>
      <c r="H112" s="52">
        <f ca="1">IFERROR(__xludf.DUMMYFUNCTION("""COMPUTED_VALUE"""),105)</f>
        <v>105</v>
      </c>
      <c r="I112" s="52">
        <f ca="1">IFERROR(__xludf.DUMMYFUNCTION("""COMPUTED_VALUE"""),94)</f>
        <v>94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x14ac:dyDescent="0.2">
      <c r="A113" s="2">
        <f ca="1">IFERROR(__xludf.DUMMYFUNCTION("""COMPUTED_VALUE"""),13521132)</f>
        <v>13521132</v>
      </c>
      <c r="B113" s="2" t="str">
        <f ca="1">IFERROR(__xludf.DUMMYFUNCTION("""COMPUTED_VALUE"""),"K2")</f>
        <v>K2</v>
      </c>
      <c r="C113" s="2" t="str">
        <f ca="1">IFERROR(__xludf.DUMMYFUNCTION("""COMPUTED_VALUE"""),"Dhanika Novlisariyanti")</f>
        <v>Dhanika Novlisariyanti</v>
      </c>
      <c r="D113" s="52">
        <f ca="1">IFERROR(__xludf.DUMMYFUNCTION("""COMPUTED_VALUE"""),91.5)</f>
        <v>91.5</v>
      </c>
      <c r="E113" s="52">
        <f ca="1">IFERROR(__xludf.DUMMYFUNCTION("""COMPUTED_VALUE"""),115)</f>
        <v>115</v>
      </c>
      <c r="F113" s="52">
        <f ca="1">IFERROR(__xludf.DUMMYFUNCTION("""COMPUTED_VALUE"""),110)</f>
        <v>110</v>
      </c>
      <c r="G113" s="52">
        <f ca="1">IFERROR(__xludf.DUMMYFUNCTION("""COMPUTED_VALUE"""),100)</f>
        <v>100</v>
      </c>
      <c r="H113" s="52">
        <f ca="1">IFERROR(__xludf.DUMMYFUNCTION("""COMPUTED_VALUE"""),105)</f>
        <v>105</v>
      </c>
      <c r="I113" s="52">
        <f ca="1">IFERROR(__xludf.DUMMYFUNCTION("""COMPUTED_VALUE"""),105.5)</f>
        <v>105.5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x14ac:dyDescent="0.2">
      <c r="A114" s="2">
        <f ca="1">IFERROR(__xludf.DUMMYFUNCTION("""COMPUTED_VALUE"""),13521134)</f>
        <v>13521134</v>
      </c>
      <c r="B114" s="2" t="str">
        <f ca="1">IFERROR(__xludf.DUMMYFUNCTION("""COMPUTED_VALUE"""),"K2")</f>
        <v>K2</v>
      </c>
      <c r="C114" s="2" t="str">
        <f ca="1">IFERROR(__xludf.DUMMYFUNCTION("""COMPUTED_VALUE"""),"Rinaldy Adin")</f>
        <v>Rinaldy Adin</v>
      </c>
      <c r="D114" s="52">
        <f ca="1">IFERROR(__xludf.DUMMYFUNCTION("""COMPUTED_VALUE"""),98.5)</f>
        <v>98.5</v>
      </c>
      <c r="E114" s="52">
        <f ca="1">IFERROR(__xludf.DUMMYFUNCTION("""COMPUTED_VALUE"""),112)</f>
        <v>112</v>
      </c>
      <c r="F114" s="52">
        <f ca="1">IFERROR(__xludf.DUMMYFUNCTION("""COMPUTED_VALUE"""),99)</f>
        <v>99</v>
      </c>
      <c r="G114" s="52">
        <f ca="1">IFERROR(__xludf.DUMMYFUNCTION("""COMPUTED_VALUE"""),105)</f>
        <v>105</v>
      </c>
      <c r="H114" s="52">
        <f ca="1">IFERROR(__xludf.DUMMYFUNCTION("""COMPUTED_VALUE"""),112)</f>
        <v>112</v>
      </c>
      <c r="I114" s="52">
        <f ca="1">IFERROR(__xludf.DUMMYFUNCTION("""COMPUTED_VALUE"""),98.5)</f>
        <v>98.5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x14ac:dyDescent="0.2">
      <c r="A115" s="2">
        <f ca="1">IFERROR(__xludf.DUMMYFUNCTION("""COMPUTED_VALUE"""),13521136)</f>
        <v>13521136</v>
      </c>
      <c r="B115" s="2" t="str">
        <f ca="1">IFERROR(__xludf.DUMMYFUNCTION("""COMPUTED_VALUE"""),"K2")</f>
        <v>K2</v>
      </c>
      <c r="C115" s="2" t="str">
        <f ca="1">IFERROR(__xludf.DUMMYFUNCTION("""COMPUTED_VALUE"""),"Ammar Rasyad Chaeroel")</f>
        <v>Ammar Rasyad Chaeroel</v>
      </c>
      <c r="D115" s="52">
        <f ca="1">IFERROR(__xludf.DUMMYFUNCTION("""COMPUTED_VALUE"""),86.5)</f>
        <v>86.5</v>
      </c>
      <c r="E115" s="52">
        <f ca="1">IFERROR(__xludf.DUMMYFUNCTION("""COMPUTED_VALUE"""),114)</f>
        <v>114</v>
      </c>
      <c r="F115" s="52">
        <f ca="1">IFERROR(__xludf.DUMMYFUNCTION("""COMPUTED_VALUE"""),82)</f>
        <v>82</v>
      </c>
      <c r="G115" s="52">
        <f ca="1">IFERROR(__xludf.DUMMYFUNCTION("""COMPUTED_VALUE"""),105)</f>
        <v>105</v>
      </c>
      <c r="H115" s="52">
        <f ca="1">IFERROR(__xludf.DUMMYFUNCTION("""COMPUTED_VALUE"""),101.5)</f>
        <v>101.5</v>
      </c>
      <c r="I115" s="52">
        <f ca="1">IFERROR(__xludf.DUMMYFUNCTION("""COMPUTED_VALUE"""),94.5)</f>
        <v>94.5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x14ac:dyDescent="0.2">
      <c r="A116" s="2">
        <f ca="1">IFERROR(__xludf.DUMMYFUNCTION("""COMPUTED_VALUE"""),13521138)</f>
        <v>13521138</v>
      </c>
      <c r="B116" s="2" t="str">
        <f ca="1">IFERROR(__xludf.DUMMYFUNCTION("""COMPUTED_VALUE"""),"K2")</f>
        <v>K2</v>
      </c>
      <c r="C116" s="2" t="str">
        <f ca="1">IFERROR(__xludf.DUMMYFUNCTION("""COMPUTED_VALUE"""),"Johann Christian Kandani")</f>
        <v>Johann Christian Kandani</v>
      </c>
      <c r="D116" s="52">
        <f ca="1">IFERROR(__xludf.DUMMYFUNCTION("""COMPUTED_VALUE"""),91.5)</f>
        <v>91.5</v>
      </c>
      <c r="E116" s="52">
        <f ca="1">IFERROR(__xludf.DUMMYFUNCTION("""COMPUTED_VALUE"""),114)</f>
        <v>114</v>
      </c>
      <c r="F116" s="52">
        <f ca="1">IFERROR(__xludf.DUMMYFUNCTION("""COMPUTED_VALUE"""),105)</f>
        <v>105</v>
      </c>
      <c r="G116" s="52">
        <f ca="1">IFERROR(__xludf.DUMMYFUNCTION("""COMPUTED_VALUE"""),108)</f>
        <v>108</v>
      </c>
      <c r="H116" s="52">
        <f ca="1">IFERROR(__xludf.DUMMYFUNCTION("""COMPUTED_VALUE"""),112.5)</f>
        <v>112.5</v>
      </c>
      <c r="I116" s="52">
        <f ca="1">IFERROR(__xludf.DUMMYFUNCTION("""COMPUTED_VALUE"""),90.5)</f>
        <v>90.5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x14ac:dyDescent="0.2">
      <c r="A117" s="2">
        <f ca="1">IFERROR(__xludf.DUMMYFUNCTION("""COMPUTED_VALUE"""),13521140)</f>
        <v>13521140</v>
      </c>
      <c r="B117" s="2" t="str">
        <f ca="1">IFERROR(__xludf.DUMMYFUNCTION("""COMPUTED_VALUE"""),"K2")</f>
        <v>K2</v>
      </c>
      <c r="C117" s="2" t="str">
        <f ca="1">IFERROR(__xludf.DUMMYFUNCTION("""COMPUTED_VALUE"""),"Ryan Samuel Chandra")</f>
        <v>Ryan Samuel Chandra</v>
      </c>
      <c r="D117" s="52">
        <f ca="1">IFERROR(__xludf.DUMMYFUNCTION("""COMPUTED_VALUE"""),95)</f>
        <v>95</v>
      </c>
      <c r="E117" s="52">
        <f ca="1">IFERROR(__xludf.DUMMYFUNCTION("""COMPUTED_VALUE"""),112)</f>
        <v>112</v>
      </c>
      <c r="F117" s="52">
        <f ca="1">IFERROR(__xludf.DUMMYFUNCTION("""COMPUTED_VALUE"""),109)</f>
        <v>109</v>
      </c>
      <c r="G117" s="52">
        <f ca="1">IFERROR(__xludf.DUMMYFUNCTION("""COMPUTED_VALUE"""),104)</f>
        <v>104</v>
      </c>
      <c r="H117" s="52">
        <f ca="1">IFERROR(__xludf.DUMMYFUNCTION("""COMPUTED_VALUE"""),97)</f>
        <v>97</v>
      </c>
      <c r="I117" s="52">
        <f ca="1">IFERROR(__xludf.DUMMYFUNCTION("""COMPUTED_VALUE"""),89.5)</f>
        <v>89.5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x14ac:dyDescent="0.2">
      <c r="A118" s="2">
        <f ca="1">IFERROR(__xludf.DUMMYFUNCTION("""COMPUTED_VALUE"""),13521142)</f>
        <v>13521142</v>
      </c>
      <c r="B118" s="2" t="str">
        <f ca="1">IFERROR(__xludf.DUMMYFUNCTION("""COMPUTED_VALUE"""),"K2")</f>
        <v>K2</v>
      </c>
      <c r="C118" s="2" t="str">
        <f ca="1">IFERROR(__xludf.DUMMYFUNCTION("""COMPUTED_VALUE"""),"Enrique Alifio Ditya")</f>
        <v>Enrique Alifio Ditya</v>
      </c>
      <c r="D118" s="52">
        <f ca="1">IFERROR(__xludf.DUMMYFUNCTION("""COMPUTED_VALUE"""),100)</f>
        <v>100</v>
      </c>
      <c r="E118" s="52">
        <f ca="1">IFERROR(__xludf.DUMMYFUNCTION("""COMPUTED_VALUE"""),115)</f>
        <v>115</v>
      </c>
      <c r="F118" s="52">
        <f ca="1">IFERROR(__xludf.DUMMYFUNCTION("""COMPUTED_VALUE"""),103)</f>
        <v>103</v>
      </c>
      <c r="G118" s="52">
        <f ca="1">IFERROR(__xludf.DUMMYFUNCTION("""COMPUTED_VALUE"""),106)</f>
        <v>106</v>
      </c>
      <c r="H118" s="52">
        <f ca="1">IFERROR(__xludf.DUMMYFUNCTION("""COMPUTED_VALUE"""),107)</f>
        <v>107</v>
      </c>
      <c r="I118" s="52">
        <f ca="1">IFERROR(__xludf.DUMMYFUNCTION("""COMPUTED_VALUE"""),98.5)</f>
        <v>98.5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x14ac:dyDescent="0.2">
      <c r="A119" s="2">
        <f ca="1">IFERROR(__xludf.DUMMYFUNCTION("""COMPUTED_VALUE"""),13521144)</f>
        <v>13521144</v>
      </c>
      <c r="B119" s="2" t="str">
        <f ca="1">IFERROR(__xludf.DUMMYFUNCTION("""COMPUTED_VALUE"""),"K2")</f>
        <v>K2</v>
      </c>
      <c r="C119" s="2" t="str">
        <f ca="1">IFERROR(__xludf.DUMMYFUNCTION("""COMPUTED_VALUE"""),"Bintang Dwi Marthen")</f>
        <v>Bintang Dwi Marthen</v>
      </c>
      <c r="D119" s="52">
        <f ca="1">IFERROR(__xludf.DUMMYFUNCTION("""COMPUTED_VALUE"""),100)</f>
        <v>100</v>
      </c>
      <c r="E119" s="52">
        <f ca="1">IFERROR(__xludf.DUMMYFUNCTION("""COMPUTED_VALUE"""),115)</f>
        <v>115</v>
      </c>
      <c r="F119" s="52">
        <f ca="1">IFERROR(__xludf.DUMMYFUNCTION("""COMPUTED_VALUE"""),99)</f>
        <v>99</v>
      </c>
      <c r="G119" s="52">
        <f ca="1">IFERROR(__xludf.DUMMYFUNCTION("""COMPUTED_VALUE"""),105)</f>
        <v>105</v>
      </c>
      <c r="H119" s="52">
        <f ca="1">IFERROR(__xludf.DUMMYFUNCTION("""COMPUTED_VALUE"""),108)</f>
        <v>108</v>
      </c>
      <c r="I119" s="52">
        <f ca="1">IFERROR(__xludf.DUMMYFUNCTION("""COMPUTED_VALUE"""),101.5)</f>
        <v>101.5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x14ac:dyDescent="0.2">
      <c r="A120" s="2">
        <f ca="1">IFERROR(__xludf.DUMMYFUNCTION("""COMPUTED_VALUE"""),13521146)</f>
        <v>13521146</v>
      </c>
      <c r="B120" s="2" t="str">
        <f ca="1">IFERROR(__xludf.DUMMYFUNCTION("""COMPUTED_VALUE"""),"K2")</f>
        <v>K2</v>
      </c>
      <c r="C120" s="2" t="str">
        <f ca="1">IFERROR(__xludf.DUMMYFUNCTION("""COMPUTED_VALUE"""),"Muhammad Zaki Amanullah")</f>
        <v>Muhammad Zaki Amanullah</v>
      </c>
      <c r="D120" s="52">
        <f ca="1">IFERROR(__xludf.DUMMYFUNCTION("""COMPUTED_VALUE"""),95.5)</f>
        <v>95.5</v>
      </c>
      <c r="E120" s="52">
        <f ca="1">IFERROR(__xludf.DUMMYFUNCTION("""COMPUTED_VALUE"""),115)</f>
        <v>115</v>
      </c>
      <c r="F120" s="52">
        <f ca="1">IFERROR(__xludf.DUMMYFUNCTION("""COMPUTED_VALUE"""),105)</f>
        <v>105</v>
      </c>
      <c r="G120" s="52">
        <f ca="1">IFERROR(__xludf.DUMMYFUNCTION("""COMPUTED_VALUE"""),92)</f>
        <v>92</v>
      </c>
      <c r="H120" s="52">
        <f ca="1">IFERROR(__xludf.DUMMYFUNCTION("""COMPUTED_VALUE"""),108)</f>
        <v>108</v>
      </c>
      <c r="I120" s="52">
        <f ca="1">IFERROR(__xludf.DUMMYFUNCTION("""COMPUTED_VALUE"""),102.5)</f>
        <v>102.5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x14ac:dyDescent="0.2">
      <c r="A121" s="2">
        <f ca="1">IFERROR(__xludf.DUMMYFUNCTION("""COMPUTED_VALUE"""),13521148)</f>
        <v>13521148</v>
      </c>
      <c r="B121" s="2" t="str">
        <f ca="1">IFERROR(__xludf.DUMMYFUNCTION("""COMPUTED_VALUE"""),"K2")</f>
        <v>K2</v>
      </c>
      <c r="C121" s="2" t="str">
        <f ca="1">IFERROR(__xludf.DUMMYFUNCTION("""COMPUTED_VALUE"""),"Johanes Lee")</f>
        <v>Johanes Lee</v>
      </c>
      <c r="D121" s="52">
        <f ca="1">IFERROR(__xludf.DUMMYFUNCTION("""COMPUTED_VALUE"""),98.5)</f>
        <v>98.5</v>
      </c>
      <c r="E121" s="52">
        <f ca="1">IFERROR(__xludf.DUMMYFUNCTION("""COMPUTED_VALUE"""),114)</f>
        <v>114</v>
      </c>
      <c r="F121" s="52">
        <f ca="1">IFERROR(__xludf.DUMMYFUNCTION("""COMPUTED_VALUE"""),110)</f>
        <v>110</v>
      </c>
      <c r="G121" s="52">
        <f ca="1">IFERROR(__xludf.DUMMYFUNCTION("""COMPUTED_VALUE"""),105)</f>
        <v>105</v>
      </c>
      <c r="H121" s="52">
        <f ca="1">IFERROR(__xludf.DUMMYFUNCTION("""COMPUTED_VALUE"""),110)</f>
        <v>110</v>
      </c>
      <c r="I121" s="52">
        <f ca="1">IFERROR(__xludf.DUMMYFUNCTION("""COMPUTED_VALUE"""),106.5)</f>
        <v>106.5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x14ac:dyDescent="0.2">
      <c r="A122" s="2">
        <f ca="1">IFERROR(__xludf.DUMMYFUNCTION("""COMPUTED_VALUE"""),13521150)</f>
        <v>13521150</v>
      </c>
      <c r="B122" s="2" t="str">
        <f ca="1">IFERROR(__xludf.DUMMYFUNCTION("""COMPUTED_VALUE"""),"K2")</f>
        <v>K2</v>
      </c>
      <c r="C122" s="2" t="str">
        <f ca="1">IFERROR(__xludf.DUMMYFUNCTION("""COMPUTED_VALUE"""),"I Putu Bakta Hari Sudewa")</f>
        <v>I Putu Bakta Hari Sudewa</v>
      </c>
      <c r="D122" s="52">
        <f ca="1">IFERROR(__xludf.DUMMYFUNCTION("""COMPUTED_VALUE"""),96.5)</f>
        <v>96.5</v>
      </c>
      <c r="E122" s="52">
        <f ca="1">IFERROR(__xludf.DUMMYFUNCTION("""COMPUTED_VALUE"""),114)</f>
        <v>114</v>
      </c>
      <c r="F122" s="52">
        <f ca="1">IFERROR(__xludf.DUMMYFUNCTION("""COMPUTED_VALUE"""),110)</f>
        <v>110</v>
      </c>
      <c r="G122" s="52">
        <f ca="1">IFERROR(__xludf.DUMMYFUNCTION("""COMPUTED_VALUE"""),102)</f>
        <v>102</v>
      </c>
      <c r="H122" s="52">
        <f ca="1">IFERROR(__xludf.DUMMYFUNCTION("""COMPUTED_VALUE"""),109)</f>
        <v>109</v>
      </c>
      <c r="I122" s="52">
        <f ca="1">IFERROR(__xludf.DUMMYFUNCTION("""COMPUTED_VALUE"""),110)</f>
        <v>110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x14ac:dyDescent="0.2">
      <c r="A123" s="2">
        <f ca="1">IFERROR(__xludf.DUMMYFUNCTION("""COMPUTED_VALUE"""),13521152)</f>
        <v>13521152</v>
      </c>
      <c r="B123" s="2" t="str">
        <f ca="1">IFERROR(__xludf.DUMMYFUNCTION("""COMPUTED_VALUE"""),"K2")</f>
        <v>K2</v>
      </c>
      <c r="C123" s="2" t="str">
        <f ca="1">IFERROR(__xludf.DUMMYFUNCTION("""COMPUTED_VALUE"""),"Muhammad Naufal Nalendra")</f>
        <v>Muhammad Naufal Nalendra</v>
      </c>
      <c r="D123" s="52">
        <f ca="1">IFERROR(__xludf.DUMMYFUNCTION("""COMPUTED_VALUE"""),79.5)</f>
        <v>79.5</v>
      </c>
      <c r="E123" s="52">
        <f ca="1">IFERROR(__xludf.DUMMYFUNCTION("""COMPUTED_VALUE"""),101)</f>
        <v>101</v>
      </c>
      <c r="F123" s="52">
        <f ca="1">IFERROR(__xludf.DUMMYFUNCTION("""COMPUTED_VALUE"""),103)</f>
        <v>103</v>
      </c>
      <c r="G123" s="52">
        <f ca="1">IFERROR(__xludf.DUMMYFUNCTION("""COMPUTED_VALUE"""),103)</f>
        <v>103</v>
      </c>
      <c r="H123" s="52">
        <f ca="1">IFERROR(__xludf.DUMMYFUNCTION("""COMPUTED_VALUE"""),105)</f>
        <v>105</v>
      </c>
      <c r="I123" s="52">
        <f ca="1">IFERROR(__xludf.DUMMYFUNCTION("""COMPUTED_VALUE"""),101.5)</f>
        <v>101.5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x14ac:dyDescent="0.2">
      <c r="A124" s="2">
        <f ca="1">IFERROR(__xludf.DUMMYFUNCTION("""COMPUTED_VALUE"""),13521156)</f>
        <v>13521156</v>
      </c>
      <c r="B124" s="2" t="str">
        <f ca="1">IFERROR(__xludf.DUMMYFUNCTION("""COMPUTED_VALUE"""),"K2")</f>
        <v>K2</v>
      </c>
      <c r="C124" s="2" t="str">
        <f ca="1">IFERROR(__xludf.DUMMYFUNCTION("""COMPUTED_VALUE"""),"Brigita Tri Carolina")</f>
        <v>Brigita Tri Carolina</v>
      </c>
      <c r="D124" s="52">
        <f ca="1">IFERROR(__xludf.DUMMYFUNCTION("""COMPUTED_VALUE"""),91.5)</f>
        <v>91.5</v>
      </c>
      <c r="E124" s="52">
        <f ca="1">IFERROR(__xludf.DUMMYFUNCTION("""COMPUTED_VALUE"""),114)</f>
        <v>114</v>
      </c>
      <c r="F124" s="52">
        <f ca="1">IFERROR(__xludf.DUMMYFUNCTION("""COMPUTED_VALUE"""),110)</f>
        <v>110</v>
      </c>
      <c r="G124" s="52">
        <f ca="1">IFERROR(__xludf.DUMMYFUNCTION("""COMPUTED_VALUE"""),107)</f>
        <v>107</v>
      </c>
      <c r="H124" s="52">
        <f ca="1">IFERROR(__xludf.DUMMYFUNCTION("""COMPUTED_VALUE"""),105)</f>
        <v>105</v>
      </c>
      <c r="I124" s="52">
        <f ca="1">IFERROR(__xludf.DUMMYFUNCTION("""COMPUTED_VALUE"""),106.5)</f>
        <v>106.5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x14ac:dyDescent="0.2">
      <c r="A125" s="2">
        <f ca="1">IFERROR(__xludf.DUMMYFUNCTION("""COMPUTED_VALUE"""),13521158)</f>
        <v>13521158</v>
      </c>
      <c r="B125" s="2" t="str">
        <f ca="1">IFERROR(__xludf.DUMMYFUNCTION("""COMPUTED_VALUE"""),"K2")</f>
        <v>K2</v>
      </c>
      <c r="C125" s="2" t="str">
        <f ca="1">IFERROR(__xludf.DUMMYFUNCTION("""COMPUTED_VALUE"""),"Muhammad Dhiwaul Akbar")</f>
        <v>Muhammad Dhiwaul Akbar</v>
      </c>
      <c r="D125" s="52">
        <f ca="1">IFERROR(__xludf.DUMMYFUNCTION("""COMPUTED_VALUE"""),49)</f>
        <v>49</v>
      </c>
      <c r="E125" s="52">
        <f ca="1">IFERROR(__xludf.DUMMYFUNCTION("""COMPUTED_VALUE"""),69)</f>
        <v>69</v>
      </c>
      <c r="F125" s="52">
        <f ca="1">IFERROR(__xludf.DUMMYFUNCTION("""COMPUTED_VALUE"""),0)</f>
        <v>0</v>
      </c>
      <c r="G125" s="52">
        <f ca="1">IFERROR(__xludf.DUMMYFUNCTION("""COMPUTED_VALUE"""),53)</f>
        <v>53</v>
      </c>
      <c r="H125" s="52">
        <f ca="1">IFERROR(__xludf.DUMMYFUNCTION("""COMPUTED_VALUE"""),62)</f>
        <v>62</v>
      </c>
      <c r="I125" s="52">
        <f ca="1">IFERROR(__xludf.DUMMYFUNCTION("""COMPUTED_VALUE"""),0)</f>
        <v>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x14ac:dyDescent="0.2">
      <c r="A126" s="2">
        <f ca="1">IFERROR(__xludf.DUMMYFUNCTION("""COMPUTED_VALUE"""),13521160)</f>
        <v>13521160</v>
      </c>
      <c r="B126" s="2" t="str">
        <f ca="1">IFERROR(__xludf.DUMMYFUNCTION("""COMPUTED_VALUE"""),"K2")</f>
        <v>K2</v>
      </c>
      <c r="C126" s="2" t="str">
        <f ca="1">IFERROR(__xludf.DUMMYFUNCTION("""COMPUTED_VALUE"""),"M. Dimas Sakti Widyatmaja")</f>
        <v>M. Dimas Sakti Widyatmaja</v>
      </c>
      <c r="D126" s="52">
        <f ca="1">IFERROR(__xludf.DUMMYFUNCTION("""COMPUTED_VALUE"""),81)</f>
        <v>81</v>
      </c>
      <c r="E126" s="52">
        <f ca="1">IFERROR(__xludf.DUMMYFUNCTION("""COMPUTED_VALUE"""),107)</f>
        <v>107</v>
      </c>
      <c r="F126" s="52">
        <f ca="1">IFERROR(__xludf.DUMMYFUNCTION("""COMPUTED_VALUE"""),106)</f>
        <v>106</v>
      </c>
      <c r="G126" s="52">
        <f ca="1">IFERROR(__xludf.DUMMYFUNCTION("""COMPUTED_VALUE"""),106)</f>
        <v>106</v>
      </c>
      <c r="H126" s="52">
        <f ca="1">IFERROR(__xludf.DUMMYFUNCTION("""COMPUTED_VALUE"""),107)</f>
        <v>107</v>
      </c>
      <c r="I126" s="52">
        <f ca="1">IFERROR(__xludf.DUMMYFUNCTION("""COMPUTED_VALUE"""),102.5)</f>
        <v>102.5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x14ac:dyDescent="0.2">
      <c r="A127" s="2">
        <f ca="1">IFERROR(__xludf.DUMMYFUNCTION("""COMPUTED_VALUE"""),13521162)</f>
        <v>13521162</v>
      </c>
      <c r="B127" s="2" t="str">
        <f ca="1">IFERROR(__xludf.DUMMYFUNCTION("""COMPUTED_VALUE"""),"K2")</f>
        <v>K2</v>
      </c>
      <c r="C127" s="2" t="str">
        <f ca="1">IFERROR(__xludf.DUMMYFUNCTION("""COMPUTED_VALUE"""),"Antonio Natthan Krishna")</f>
        <v>Antonio Natthan Krishna</v>
      </c>
      <c r="D127" s="52">
        <f ca="1">IFERROR(__xludf.DUMMYFUNCTION("""COMPUTED_VALUE"""),97)</f>
        <v>97</v>
      </c>
      <c r="E127" s="52">
        <f ca="1">IFERROR(__xludf.DUMMYFUNCTION("""COMPUTED_VALUE"""),115)</f>
        <v>115</v>
      </c>
      <c r="F127" s="52">
        <f ca="1">IFERROR(__xludf.DUMMYFUNCTION("""COMPUTED_VALUE"""),100)</f>
        <v>100</v>
      </c>
      <c r="G127" s="52">
        <f ca="1">IFERROR(__xludf.DUMMYFUNCTION("""COMPUTED_VALUE"""),102)</f>
        <v>102</v>
      </c>
      <c r="H127" s="52">
        <f ca="1">IFERROR(__xludf.DUMMYFUNCTION("""COMPUTED_VALUE"""),111)</f>
        <v>111</v>
      </c>
      <c r="I127" s="52">
        <f ca="1">IFERROR(__xludf.DUMMYFUNCTION("""COMPUTED_VALUE"""),102)</f>
        <v>102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x14ac:dyDescent="0.2">
      <c r="A128" s="2">
        <f ca="1">IFERROR(__xludf.DUMMYFUNCTION("""COMPUTED_VALUE"""),13521164)</f>
        <v>13521164</v>
      </c>
      <c r="B128" s="2" t="str">
        <f ca="1">IFERROR(__xludf.DUMMYFUNCTION("""COMPUTED_VALUE"""),"K2")</f>
        <v>K2</v>
      </c>
      <c r="C128" s="2" t="str">
        <f ca="1">IFERROR(__xludf.DUMMYFUNCTION("""COMPUTED_VALUE"""),"Akhmad Setiawan")</f>
        <v>Akhmad Setiawan</v>
      </c>
      <c r="D128" s="52">
        <f ca="1">IFERROR(__xludf.DUMMYFUNCTION("""COMPUTED_VALUE"""),94)</f>
        <v>94</v>
      </c>
      <c r="E128" s="52">
        <f ca="1">IFERROR(__xludf.DUMMYFUNCTION("""COMPUTED_VALUE"""),113)</f>
        <v>113</v>
      </c>
      <c r="F128" s="52">
        <f ca="1">IFERROR(__xludf.DUMMYFUNCTION("""COMPUTED_VALUE"""),101)</f>
        <v>101</v>
      </c>
      <c r="G128" s="52">
        <f ca="1">IFERROR(__xludf.DUMMYFUNCTION("""COMPUTED_VALUE"""),106)</f>
        <v>106</v>
      </c>
      <c r="H128" s="52">
        <f ca="1">IFERROR(__xludf.DUMMYFUNCTION("""COMPUTED_VALUE"""),96.5)</f>
        <v>96.5</v>
      </c>
      <c r="I128" s="52">
        <f ca="1">IFERROR(__xludf.DUMMYFUNCTION("""COMPUTED_VALUE"""),88.5)</f>
        <v>88.5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x14ac:dyDescent="0.2">
      <c r="A129" s="2">
        <f ca="1">IFERROR(__xludf.DUMMYFUNCTION("""COMPUTED_VALUE"""),13521166)</f>
        <v>13521166</v>
      </c>
      <c r="B129" s="2" t="str">
        <f ca="1">IFERROR(__xludf.DUMMYFUNCTION("""COMPUTED_VALUE"""),"K2")</f>
        <v>K2</v>
      </c>
      <c r="C129" s="2" t="str">
        <f ca="1">IFERROR(__xludf.DUMMYFUNCTION("""COMPUTED_VALUE"""),"Mohammad Rifqi Farhansyah")</f>
        <v>Mohammad Rifqi Farhansyah</v>
      </c>
      <c r="D129" s="52">
        <f ca="1">IFERROR(__xludf.DUMMYFUNCTION("""COMPUTED_VALUE"""),103)</f>
        <v>103</v>
      </c>
      <c r="E129" s="52">
        <f ca="1">IFERROR(__xludf.DUMMYFUNCTION("""COMPUTED_VALUE"""),115)</f>
        <v>115</v>
      </c>
      <c r="F129" s="52">
        <f ca="1">IFERROR(__xludf.DUMMYFUNCTION("""COMPUTED_VALUE"""),107)</f>
        <v>107</v>
      </c>
      <c r="G129" s="52">
        <f ca="1">IFERROR(__xludf.DUMMYFUNCTION("""COMPUTED_VALUE"""),106)</f>
        <v>106</v>
      </c>
      <c r="H129" s="52">
        <f ca="1">IFERROR(__xludf.DUMMYFUNCTION("""COMPUTED_VALUE"""),108)</f>
        <v>108</v>
      </c>
      <c r="I129" s="52">
        <f ca="1">IFERROR(__xludf.DUMMYFUNCTION("""COMPUTED_VALUE"""),103.5)</f>
        <v>103.5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x14ac:dyDescent="0.2">
      <c r="A130" s="2">
        <f ca="1">IFERROR(__xludf.DUMMYFUNCTION("""COMPUTED_VALUE"""),13521168)</f>
        <v>13521168</v>
      </c>
      <c r="B130" s="2" t="str">
        <f ca="1">IFERROR(__xludf.DUMMYFUNCTION("""COMPUTED_VALUE"""),"K2")</f>
        <v>K2</v>
      </c>
      <c r="C130" s="2" t="str">
        <f ca="1">IFERROR(__xludf.DUMMYFUNCTION("""COMPUTED_VALUE"""),"Satria Octavianus Nababan")</f>
        <v>Satria Octavianus Nababan</v>
      </c>
      <c r="D130" s="52">
        <f ca="1">IFERROR(__xludf.DUMMYFUNCTION("""COMPUTED_VALUE"""),100)</f>
        <v>100</v>
      </c>
      <c r="E130" s="52">
        <f ca="1">IFERROR(__xludf.DUMMYFUNCTION("""COMPUTED_VALUE"""),112)</f>
        <v>112</v>
      </c>
      <c r="F130" s="52">
        <f ca="1">IFERROR(__xludf.DUMMYFUNCTION("""COMPUTED_VALUE"""),99)</f>
        <v>99</v>
      </c>
      <c r="G130" s="52">
        <f ca="1">IFERROR(__xludf.DUMMYFUNCTION("""COMPUTED_VALUE"""),106)</f>
        <v>106</v>
      </c>
      <c r="H130" s="52">
        <f ca="1">IFERROR(__xludf.DUMMYFUNCTION("""COMPUTED_VALUE"""),112)</f>
        <v>112</v>
      </c>
      <c r="I130" s="52">
        <f ca="1">IFERROR(__xludf.DUMMYFUNCTION("""COMPUTED_VALUE"""),89.5)</f>
        <v>89.5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x14ac:dyDescent="0.2">
      <c r="A131" s="2">
        <f ca="1">IFERROR(__xludf.DUMMYFUNCTION("""COMPUTED_VALUE"""),13521170)</f>
        <v>13521170</v>
      </c>
      <c r="B131" s="2" t="str">
        <f ca="1">IFERROR(__xludf.DUMMYFUNCTION("""COMPUTED_VALUE"""),"K2")</f>
        <v>K2</v>
      </c>
      <c r="C131" s="2" t="str">
        <f ca="1">IFERROR(__xludf.DUMMYFUNCTION("""COMPUTED_VALUE"""),"Haziq Abiyyu Mahdy")</f>
        <v>Haziq Abiyyu Mahdy</v>
      </c>
      <c r="D131" s="52">
        <f ca="1">IFERROR(__xludf.DUMMYFUNCTION("""COMPUTED_VALUE"""),97)</f>
        <v>97</v>
      </c>
      <c r="E131" s="52">
        <f ca="1">IFERROR(__xludf.DUMMYFUNCTION("""COMPUTED_VALUE"""),114)</f>
        <v>114</v>
      </c>
      <c r="F131" s="52">
        <f ca="1">IFERROR(__xludf.DUMMYFUNCTION("""COMPUTED_VALUE"""),103)</f>
        <v>103</v>
      </c>
      <c r="G131" s="52">
        <f ca="1">IFERROR(__xludf.DUMMYFUNCTION("""COMPUTED_VALUE"""),104)</f>
        <v>104</v>
      </c>
      <c r="H131" s="52">
        <f ca="1">IFERROR(__xludf.DUMMYFUNCTION("""COMPUTED_VALUE"""),112.5)</f>
        <v>112.5</v>
      </c>
      <c r="I131" s="52">
        <f ca="1">IFERROR(__xludf.DUMMYFUNCTION("""COMPUTED_VALUE"""),105.5)</f>
        <v>105.5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x14ac:dyDescent="0.2">
      <c r="A132" s="2">
        <f ca="1">IFERROR(__xludf.DUMMYFUNCTION("""COMPUTED_VALUE"""),13521172)</f>
        <v>13521172</v>
      </c>
      <c r="B132" s="2" t="str">
        <f ca="1">IFERROR(__xludf.DUMMYFUNCTION("""COMPUTED_VALUE"""),"K2")</f>
        <v>K2</v>
      </c>
      <c r="C132" s="2" t="str">
        <f ca="1">IFERROR(__xludf.DUMMYFUNCTION("""COMPUTED_VALUE"""),"Nathan Tenka")</f>
        <v>Nathan Tenka</v>
      </c>
      <c r="D132" s="52">
        <f ca="1">IFERROR(__xludf.DUMMYFUNCTION("""COMPUTED_VALUE"""),99)</f>
        <v>99</v>
      </c>
      <c r="E132" s="52">
        <f ca="1">IFERROR(__xludf.DUMMYFUNCTION("""COMPUTED_VALUE"""),114)</f>
        <v>114</v>
      </c>
      <c r="F132" s="52">
        <f ca="1">IFERROR(__xludf.DUMMYFUNCTION("""COMPUTED_VALUE"""),107)</f>
        <v>107</v>
      </c>
      <c r="G132" s="52">
        <f ca="1">IFERROR(__xludf.DUMMYFUNCTION("""COMPUTED_VALUE"""),106)</f>
        <v>106</v>
      </c>
      <c r="H132" s="52">
        <f ca="1">IFERROR(__xludf.DUMMYFUNCTION("""COMPUTED_VALUE"""),105)</f>
        <v>105</v>
      </c>
      <c r="I132" s="52">
        <f ca="1">IFERROR(__xludf.DUMMYFUNCTION("""COMPUTED_VALUE"""),106.5)</f>
        <v>106.5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x14ac:dyDescent="0.2">
      <c r="A133" s="2">
        <f ca="1">IFERROR(__xludf.DUMMYFUNCTION("""COMPUTED_VALUE"""),13521001)</f>
        <v>13521001</v>
      </c>
      <c r="B133" s="2" t="str">
        <f ca="1">IFERROR(__xludf.DUMMYFUNCTION("""COMPUTED_VALUE"""),"K3")</f>
        <v>K3</v>
      </c>
      <c r="C133" s="2" t="str">
        <f ca="1">IFERROR(__xludf.DUMMYFUNCTION("""COMPUTED_VALUE"""),"Angger Ilham A")</f>
        <v>Angger Ilham A</v>
      </c>
      <c r="D133" s="52">
        <f ca="1">IFERROR(__xludf.DUMMYFUNCTION("""COMPUTED_VALUE"""),93)</f>
        <v>93</v>
      </c>
      <c r="E133" s="52">
        <f ca="1">IFERROR(__xludf.DUMMYFUNCTION("""COMPUTED_VALUE"""),111)</f>
        <v>111</v>
      </c>
      <c r="F133" s="52">
        <f ca="1">IFERROR(__xludf.DUMMYFUNCTION("""COMPUTED_VALUE"""),103)</f>
        <v>103</v>
      </c>
      <c r="G133" s="52">
        <f ca="1">IFERROR(__xludf.DUMMYFUNCTION("""COMPUTED_VALUE"""),104)</f>
        <v>104</v>
      </c>
      <c r="H133" s="52">
        <f ca="1">IFERROR(__xludf.DUMMYFUNCTION("""COMPUTED_VALUE"""),90.5)</f>
        <v>90.5</v>
      </c>
      <c r="I133" s="52">
        <f ca="1">IFERROR(__xludf.DUMMYFUNCTION("""COMPUTED_VALUE"""),94.5)</f>
        <v>94.5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x14ac:dyDescent="0.2">
      <c r="A134" s="2">
        <f ca="1">IFERROR(__xludf.DUMMYFUNCTION("""COMPUTED_VALUE"""),13521003)</f>
        <v>13521003</v>
      </c>
      <c r="B134" s="2" t="str">
        <f ca="1">IFERROR(__xludf.DUMMYFUNCTION("""COMPUTED_VALUE"""),"K3")</f>
        <v>K3</v>
      </c>
      <c r="C134" s="2" t="str">
        <f ca="1">IFERROR(__xludf.DUMMYFUNCTION("""COMPUTED_VALUE"""),"Bintang Hijriawan Jachja")</f>
        <v>Bintang Hijriawan Jachja</v>
      </c>
      <c r="D134" s="52">
        <f ca="1">IFERROR(__xludf.DUMMYFUNCTION("""COMPUTED_VALUE"""),96)</f>
        <v>96</v>
      </c>
      <c r="E134" s="52">
        <f ca="1">IFERROR(__xludf.DUMMYFUNCTION("""COMPUTED_VALUE"""),103)</f>
        <v>103</v>
      </c>
      <c r="F134" s="52">
        <f ca="1">IFERROR(__xludf.DUMMYFUNCTION("""COMPUTED_VALUE"""),65)</f>
        <v>65</v>
      </c>
      <c r="G134" s="52">
        <f ca="1">IFERROR(__xludf.DUMMYFUNCTION("""COMPUTED_VALUE"""),106)</f>
        <v>106</v>
      </c>
      <c r="H134" s="52">
        <f ca="1">IFERROR(__xludf.DUMMYFUNCTION("""COMPUTED_VALUE"""),82)</f>
        <v>82</v>
      </c>
      <c r="I134" s="52">
        <f ca="1">IFERROR(__xludf.DUMMYFUNCTION("""COMPUTED_VALUE"""),70)</f>
        <v>70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x14ac:dyDescent="0.2">
      <c r="A135" s="2">
        <f ca="1">IFERROR(__xludf.DUMMYFUNCTION("""COMPUTED_VALUE"""),13521004)</f>
        <v>13521004</v>
      </c>
      <c r="B135" s="2" t="str">
        <f ca="1">IFERROR(__xludf.DUMMYFUNCTION("""COMPUTED_VALUE"""),"K3")</f>
        <v>K3</v>
      </c>
      <c r="C135" s="2" t="str">
        <f ca="1">IFERROR(__xludf.DUMMYFUNCTION("""COMPUTED_VALUE"""),"Henry Anand Septian Radityo")</f>
        <v>Henry Anand Septian Radityo</v>
      </c>
      <c r="D135" s="52">
        <f ca="1">IFERROR(__xludf.DUMMYFUNCTION("""COMPUTED_VALUE"""),91)</f>
        <v>91</v>
      </c>
      <c r="E135" s="52">
        <f ca="1">IFERROR(__xludf.DUMMYFUNCTION("""COMPUTED_VALUE"""),114)</f>
        <v>114</v>
      </c>
      <c r="F135" s="52">
        <f ca="1">IFERROR(__xludf.DUMMYFUNCTION("""COMPUTED_VALUE"""),95)</f>
        <v>95</v>
      </c>
      <c r="G135" s="52">
        <f ca="1">IFERROR(__xludf.DUMMYFUNCTION("""COMPUTED_VALUE"""),106)</f>
        <v>106</v>
      </c>
      <c r="H135" s="52">
        <f ca="1">IFERROR(__xludf.DUMMYFUNCTION("""COMPUTED_VALUE"""),112)</f>
        <v>112</v>
      </c>
      <c r="I135" s="52">
        <f ca="1">IFERROR(__xludf.DUMMYFUNCTION("""COMPUTED_VALUE"""),100.5)</f>
        <v>100.5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x14ac:dyDescent="0.2">
      <c r="A136" s="2">
        <f ca="1">IFERROR(__xludf.DUMMYFUNCTION("""COMPUTED_VALUE"""),13521005)</f>
        <v>13521005</v>
      </c>
      <c r="B136" s="2" t="str">
        <f ca="1">IFERROR(__xludf.DUMMYFUNCTION("""COMPUTED_VALUE"""),"K3")</f>
        <v>K3</v>
      </c>
      <c r="C136" s="2" t="str">
        <f ca="1">IFERROR(__xludf.DUMMYFUNCTION("""COMPUTED_VALUE"""),"Kelvin Rayhan Alkarim")</f>
        <v>Kelvin Rayhan Alkarim</v>
      </c>
      <c r="D136" s="52">
        <f ca="1">IFERROR(__xludf.DUMMYFUNCTION("""COMPUTED_VALUE"""),92.5)</f>
        <v>92.5</v>
      </c>
      <c r="E136" s="52">
        <f ca="1">IFERROR(__xludf.DUMMYFUNCTION("""COMPUTED_VALUE"""),109)</f>
        <v>109</v>
      </c>
      <c r="F136" s="52">
        <f ca="1">IFERROR(__xludf.DUMMYFUNCTION("""COMPUTED_VALUE"""),105)</f>
        <v>105</v>
      </c>
      <c r="G136" s="52">
        <f ca="1">IFERROR(__xludf.DUMMYFUNCTION("""COMPUTED_VALUE"""),105)</f>
        <v>105</v>
      </c>
      <c r="H136" s="52">
        <f ca="1">IFERROR(__xludf.DUMMYFUNCTION("""COMPUTED_VALUE"""),90.5)</f>
        <v>90.5</v>
      </c>
      <c r="I136" s="52">
        <f ca="1">IFERROR(__xludf.DUMMYFUNCTION("""COMPUTED_VALUE"""),53)</f>
        <v>53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x14ac:dyDescent="0.2">
      <c r="A137" s="2">
        <f ca="1">IFERROR(__xludf.DUMMYFUNCTION("""COMPUTED_VALUE"""),13521006)</f>
        <v>13521006</v>
      </c>
      <c r="B137" s="2" t="str">
        <f ca="1">IFERROR(__xludf.DUMMYFUNCTION("""COMPUTED_VALUE"""),"K3")</f>
        <v>K3</v>
      </c>
      <c r="C137" s="2" t="str">
        <f ca="1">IFERROR(__xludf.DUMMYFUNCTION("""COMPUTED_VALUE"""),"Azmi Hasna Zahrani")</f>
        <v>Azmi Hasna Zahrani</v>
      </c>
      <c r="D137" s="52">
        <f ca="1">IFERROR(__xludf.DUMMYFUNCTION("""COMPUTED_VALUE"""),95.5)</f>
        <v>95.5</v>
      </c>
      <c r="E137" s="52">
        <f ca="1">IFERROR(__xludf.DUMMYFUNCTION("""COMPUTED_VALUE"""),108)</f>
        <v>108</v>
      </c>
      <c r="F137" s="52">
        <f ca="1">IFERROR(__xludf.DUMMYFUNCTION("""COMPUTED_VALUE"""),104)</f>
        <v>104</v>
      </c>
      <c r="G137" s="52">
        <f ca="1">IFERROR(__xludf.DUMMYFUNCTION("""COMPUTED_VALUE"""),103)</f>
        <v>103</v>
      </c>
      <c r="H137" s="52">
        <f ca="1">IFERROR(__xludf.DUMMYFUNCTION("""COMPUTED_VALUE"""),99)</f>
        <v>99</v>
      </c>
      <c r="I137" s="52">
        <f ca="1">IFERROR(__xludf.DUMMYFUNCTION("""COMPUTED_VALUE"""),94.5)</f>
        <v>94.5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x14ac:dyDescent="0.2">
      <c r="A138" s="2">
        <f ca="1">IFERROR(__xludf.DUMMYFUNCTION("""COMPUTED_VALUE"""),13521007)</f>
        <v>13521007</v>
      </c>
      <c r="B138" s="2" t="str">
        <f ca="1">IFERROR(__xludf.DUMMYFUNCTION("""COMPUTED_VALUE"""),"K3")</f>
        <v>K3</v>
      </c>
      <c r="C138" s="2" t="str">
        <f ca="1">IFERROR(__xludf.DUMMYFUNCTION("""COMPUTED_VALUE"""),"Matthew Mahendra")</f>
        <v>Matthew Mahendra</v>
      </c>
      <c r="D138" s="52">
        <f ca="1">IFERROR(__xludf.DUMMYFUNCTION("""COMPUTED_VALUE"""),97.5)</f>
        <v>97.5</v>
      </c>
      <c r="E138" s="52">
        <f ca="1">IFERROR(__xludf.DUMMYFUNCTION("""COMPUTED_VALUE"""),111)</f>
        <v>111</v>
      </c>
      <c r="F138" s="52">
        <f ca="1">IFERROR(__xludf.DUMMYFUNCTION("""COMPUTED_VALUE"""),105)</f>
        <v>105</v>
      </c>
      <c r="G138" s="52">
        <f ca="1">IFERROR(__xludf.DUMMYFUNCTION("""COMPUTED_VALUE"""),103)</f>
        <v>103</v>
      </c>
      <c r="H138" s="52">
        <f ca="1">IFERROR(__xludf.DUMMYFUNCTION("""COMPUTED_VALUE"""),105)</f>
        <v>105</v>
      </c>
      <c r="I138" s="52">
        <f ca="1">IFERROR(__xludf.DUMMYFUNCTION("""COMPUTED_VALUE"""),100.5)</f>
        <v>100.5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x14ac:dyDescent="0.2">
      <c r="A139" s="2">
        <f ca="1">IFERROR(__xludf.DUMMYFUNCTION("""COMPUTED_VALUE"""),13521008)</f>
        <v>13521008</v>
      </c>
      <c r="B139" s="2" t="str">
        <f ca="1">IFERROR(__xludf.DUMMYFUNCTION("""COMPUTED_VALUE"""),"K3")</f>
        <v>K3</v>
      </c>
      <c r="C139" s="2" t="str">
        <f ca="1">IFERROR(__xludf.DUMMYFUNCTION("""COMPUTED_VALUE"""),"Jason Rivalino")</f>
        <v>Jason Rivalino</v>
      </c>
      <c r="D139" s="52">
        <f ca="1">IFERROR(__xludf.DUMMYFUNCTION("""COMPUTED_VALUE"""),94.5)</f>
        <v>94.5</v>
      </c>
      <c r="E139" s="52">
        <f ca="1">IFERROR(__xludf.DUMMYFUNCTION("""COMPUTED_VALUE"""),111.5)</f>
        <v>111.5</v>
      </c>
      <c r="F139" s="52">
        <f ca="1">IFERROR(__xludf.DUMMYFUNCTION("""COMPUTED_VALUE"""),99)</f>
        <v>99</v>
      </c>
      <c r="G139" s="52">
        <f ca="1">IFERROR(__xludf.DUMMYFUNCTION("""COMPUTED_VALUE"""),98)</f>
        <v>98</v>
      </c>
      <c r="H139" s="52">
        <f ca="1">IFERROR(__xludf.DUMMYFUNCTION("""COMPUTED_VALUE"""),96.5)</f>
        <v>96.5</v>
      </c>
      <c r="I139" s="52">
        <f ca="1">IFERROR(__xludf.DUMMYFUNCTION("""COMPUTED_VALUE"""),91)</f>
        <v>91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x14ac:dyDescent="0.2">
      <c r="A140" s="2">
        <f ca="1">IFERROR(__xludf.DUMMYFUNCTION("""COMPUTED_VALUE"""),13521009)</f>
        <v>13521009</v>
      </c>
      <c r="B140" s="2" t="str">
        <f ca="1">IFERROR(__xludf.DUMMYFUNCTION("""COMPUTED_VALUE"""),"K3")</f>
        <v>K3</v>
      </c>
      <c r="C140" s="2" t="str">
        <f ca="1">IFERROR(__xludf.DUMMYFUNCTION("""COMPUTED_VALUE"""),"Christophorus Dharma Winata")</f>
        <v>Christophorus Dharma Winata</v>
      </c>
      <c r="D140" s="52">
        <f ca="1">IFERROR(__xludf.DUMMYFUNCTION("""COMPUTED_VALUE"""),84)</f>
        <v>84</v>
      </c>
      <c r="E140" s="52">
        <f ca="1">IFERROR(__xludf.DUMMYFUNCTION("""COMPUTED_VALUE"""),111)</f>
        <v>111</v>
      </c>
      <c r="F140" s="52">
        <f ca="1">IFERROR(__xludf.DUMMYFUNCTION("""COMPUTED_VALUE"""),105)</f>
        <v>105</v>
      </c>
      <c r="G140" s="52">
        <f ca="1">IFERROR(__xludf.DUMMYFUNCTION("""COMPUTED_VALUE"""),106)</f>
        <v>106</v>
      </c>
      <c r="H140" s="52">
        <f ca="1">IFERROR(__xludf.DUMMYFUNCTION("""COMPUTED_VALUE"""),74)</f>
        <v>74</v>
      </c>
      <c r="I140" s="52">
        <f ca="1">IFERROR(__xludf.DUMMYFUNCTION("""COMPUTED_VALUE"""),53)</f>
        <v>53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x14ac:dyDescent="0.2">
      <c r="A141" s="2">
        <f ca="1">IFERROR(__xludf.DUMMYFUNCTION("""COMPUTED_VALUE"""),13521010)</f>
        <v>13521010</v>
      </c>
      <c r="B141" s="2" t="str">
        <f ca="1">IFERROR(__xludf.DUMMYFUNCTION("""COMPUTED_VALUE"""),"K3")</f>
        <v>K3</v>
      </c>
      <c r="C141" s="2" t="str">
        <f ca="1">IFERROR(__xludf.DUMMYFUNCTION("""COMPUTED_VALUE"""),"Muhamad Salman Hakim Alfarisi")</f>
        <v>Muhamad Salman Hakim Alfarisi</v>
      </c>
      <c r="D141" s="52">
        <f ca="1">IFERROR(__xludf.DUMMYFUNCTION("""COMPUTED_VALUE"""),93.5)</f>
        <v>93.5</v>
      </c>
      <c r="E141" s="52">
        <f ca="1">IFERROR(__xludf.DUMMYFUNCTION("""COMPUTED_VALUE"""),112)</f>
        <v>112</v>
      </c>
      <c r="F141" s="52">
        <f ca="1">IFERROR(__xludf.DUMMYFUNCTION("""COMPUTED_VALUE"""),104)</f>
        <v>104</v>
      </c>
      <c r="G141" s="52">
        <f ca="1">IFERROR(__xludf.DUMMYFUNCTION("""COMPUTED_VALUE"""),98)</f>
        <v>98</v>
      </c>
      <c r="H141" s="52">
        <f ca="1">IFERROR(__xludf.DUMMYFUNCTION("""COMPUTED_VALUE"""),105)</f>
        <v>105</v>
      </c>
      <c r="I141" s="52">
        <f ca="1">IFERROR(__xludf.DUMMYFUNCTION("""COMPUTED_VALUE"""),86)</f>
        <v>86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x14ac:dyDescent="0.2">
      <c r="A142" s="2">
        <f ca="1">IFERROR(__xludf.DUMMYFUNCTION("""COMPUTED_VALUE"""),13521011)</f>
        <v>13521011</v>
      </c>
      <c r="B142" s="2" t="str">
        <f ca="1">IFERROR(__xludf.DUMMYFUNCTION("""COMPUTED_VALUE"""),"K3")</f>
        <v>K3</v>
      </c>
      <c r="C142" s="2" t="str">
        <f ca="1">IFERROR(__xludf.DUMMYFUNCTION("""COMPUTED_VALUE"""),"Afnan Edsa Ramadhan")</f>
        <v>Afnan Edsa Ramadhan</v>
      </c>
      <c r="D142" s="52">
        <f ca="1">IFERROR(__xludf.DUMMYFUNCTION("""COMPUTED_VALUE"""),97.5)</f>
        <v>97.5</v>
      </c>
      <c r="E142" s="52">
        <f ca="1">IFERROR(__xludf.DUMMYFUNCTION("""COMPUTED_VALUE"""),113)</f>
        <v>113</v>
      </c>
      <c r="F142" s="52">
        <f ca="1">IFERROR(__xludf.DUMMYFUNCTION("""COMPUTED_VALUE"""),105)</f>
        <v>105</v>
      </c>
      <c r="G142" s="52">
        <f ca="1">IFERROR(__xludf.DUMMYFUNCTION("""COMPUTED_VALUE"""),98)</f>
        <v>98</v>
      </c>
      <c r="H142" s="52">
        <f ca="1">IFERROR(__xludf.DUMMYFUNCTION("""COMPUTED_VALUE"""),95)</f>
        <v>95</v>
      </c>
      <c r="I142" s="52">
        <f ca="1">IFERROR(__xludf.DUMMYFUNCTION("""COMPUTED_VALUE"""),85.5)</f>
        <v>85.5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x14ac:dyDescent="0.2">
      <c r="A143" s="2">
        <f ca="1">IFERROR(__xludf.DUMMYFUNCTION("""COMPUTED_VALUE"""),13521012)</f>
        <v>13521012</v>
      </c>
      <c r="B143" s="2" t="str">
        <f ca="1">IFERROR(__xludf.DUMMYFUNCTION("""COMPUTED_VALUE"""),"K3")</f>
        <v>K3</v>
      </c>
      <c r="C143" s="2" t="str">
        <f ca="1">IFERROR(__xludf.DUMMYFUNCTION("""COMPUTED_VALUE"""),"Haikal Ardzi Shofiyyurrohman")</f>
        <v>Haikal Ardzi Shofiyyurrohman</v>
      </c>
      <c r="D143" s="52">
        <f ca="1">IFERROR(__xludf.DUMMYFUNCTION("""COMPUTED_VALUE"""),83)</f>
        <v>83</v>
      </c>
      <c r="E143" s="52">
        <f ca="1">IFERROR(__xludf.DUMMYFUNCTION("""COMPUTED_VALUE"""),114)</f>
        <v>114</v>
      </c>
      <c r="F143" s="52">
        <f ca="1">IFERROR(__xludf.DUMMYFUNCTION("""COMPUTED_VALUE"""),102)</f>
        <v>102</v>
      </c>
      <c r="G143" s="52">
        <f ca="1">IFERROR(__xludf.DUMMYFUNCTION("""COMPUTED_VALUE"""),101)</f>
        <v>101</v>
      </c>
      <c r="H143" s="52">
        <f ca="1">IFERROR(__xludf.DUMMYFUNCTION("""COMPUTED_VALUE"""),99)</f>
        <v>99</v>
      </c>
      <c r="I143" s="52">
        <f ca="1">IFERROR(__xludf.DUMMYFUNCTION("""COMPUTED_VALUE"""),105)</f>
        <v>105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x14ac:dyDescent="0.2">
      <c r="A144" s="2">
        <f ca="1">IFERROR(__xludf.DUMMYFUNCTION("""COMPUTED_VALUE"""),13521013)</f>
        <v>13521013</v>
      </c>
      <c r="B144" s="2" t="str">
        <f ca="1">IFERROR(__xludf.DUMMYFUNCTION("""COMPUTED_VALUE"""),"K3")</f>
        <v>K3</v>
      </c>
      <c r="C144" s="2" t="str">
        <f ca="1">IFERROR(__xludf.DUMMYFUNCTION("""COMPUTED_VALUE"""),"Eunice Sarah Siregar")</f>
        <v>Eunice Sarah Siregar</v>
      </c>
      <c r="D144" s="52">
        <f ca="1">IFERROR(__xludf.DUMMYFUNCTION("""COMPUTED_VALUE"""),92)</f>
        <v>92</v>
      </c>
      <c r="E144" s="52">
        <f ca="1">IFERROR(__xludf.DUMMYFUNCTION("""COMPUTED_VALUE"""),97)</f>
        <v>97</v>
      </c>
      <c r="F144" s="52">
        <f ca="1">IFERROR(__xludf.DUMMYFUNCTION("""COMPUTED_VALUE"""),104)</f>
        <v>104</v>
      </c>
      <c r="G144" s="52">
        <f ca="1">IFERROR(__xludf.DUMMYFUNCTION("""COMPUTED_VALUE"""),101)</f>
        <v>101</v>
      </c>
      <c r="H144" s="52">
        <f ca="1">IFERROR(__xludf.DUMMYFUNCTION("""COMPUTED_VALUE"""),98)</f>
        <v>98</v>
      </c>
      <c r="I144" s="52">
        <f ca="1">IFERROR(__xludf.DUMMYFUNCTION("""COMPUTED_VALUE"""),70)</f>
        <v>70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x14ac:dyDescent="0.2">
      <c r="A145" s="2">
        <f ca="1">IFERROR(__xludf.DUMMYFUNCTION("""COMPUTED_VALUE"""),13521014)</f>
        <v>13521014</v>
      </c>
      <c r="B145" s="2" t="str">
        <f ca="1">IFERROR(__xludf.DUMMYFUNCTION("""COMPUTED_VALUE"""),"K3")</f>
        <v>K3</v>
      </c>
      <c r="C145" s="2" t="str">
        <f ca="1">IFERROR(__xludf.DUMMYFUNCTION("""COMPUTED_VALUE"""),"Muhhamad Syauqi Jannatan")</f>
        <v>Muhhamad Syauqi Jannatan</v>
      </c>
      <c r="D145" s="52">
        <f ca="1">IFERROR(__xludf.DUMMYFUNCTION("""COMPUTED_VALUE"""),91.5)</f>
        <v>91.5</v>
      </c>
      <c r="E145" s="52">
        <f ca="1">IFERROR(__xludf.DUMMYFUNCTION("""COMPUTED_VALUE"""),112)</f>
        <v>112</v>
      </c>
      <c r="F145" s="52">
        <f ca="1">IFERROR(__xludf.DUMMYFUNCTION("""COMPUTED_VALUE"""),96)</f>
        <v>96</v>
      </c>
      <c r="G145" s="52">
        <f ca="1">IFERROR(__xludf.DUMMYFUNCTION("""COMPUTED_VALUE"""),102)</f>
        <v>102</v>
      </c>
      <c r="H145" s="52">
        <f ca="1">IFERROR(__xludf.DUMMYFUNCTION("""COMPUTED_VALUE"""),98)</f>
        <v>98</v>
      </c>
      <c r="I145" s="52">
        <f ca="1">IFERROR(__xludf.DUMMYFUNCTION("""COMPUTED_VALUE"""),91)</f>
        <v>91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x14ac:dyDescent="0.2">
      <c r="A146" s="2">
        <f ca="1">IFERROR(__xludf.DUMMYFUNCTION("""COMPUTED_VALUE"""),13521015)</f>
        <v>13521015</v>
      </c>
      <c r="B146" s="2" t="str">
        <f ca="1">IFERROR(__xludf.DUMMYFUNCTION("""COMPUTED_VALUE"""),"K3")</f>
        <v>K3</v>
      </c>
      <c r="C146" s="2" t="str">
        <f ca="1">IFERROR(__xludf.DUMMYFUNCTION("""COMPUTED_VALUE"""),"Hidayatullah Wildan Ghaly B.")</f>
        <v>Hidayatullah Wildan Ghaly B.</v>
      </c>
      <c r="D146" s="52">
        <f ca="1">IFERROR(__xludf.DUMMYFUNCTION("""COMPUTED_VALUE"""),97.5)</f>
        <v>97.5</v>
      </c>
      <c r="E146" s="52">
        <f ca="1">IFERROR(__xludf.DUMMYFUNCTION("""COMPUTED_VALUE"""),115)</f>
        <v>115</v>
      </c>
      <c r="F146" s="52">
        <f ca="1">IFERROR(__xludf.DUMMYFUNCTION("""COMPUTED_VALUE"""),105)</f>
        <v>105</v>
      </c>
      <c r="G146" s="52">
        <f ca="1">IFERROR(__xludf.DUMMYFUNCTION("""COMPUTED_VALUE"""),106)</f>
        <v>106</v>
      </c>
      <c r="H146" s="52">
        <f ca="1">IFERROR(__xludf.DUMMYFUNCTION("""COMPUTED_VALUE"""),105)</f>
        <v>105</v>
      </c>
      <c r="I146" s="52">
        <f ca="1">IFERROR(__xludf.DUMMYFUNCTION("""COMPUTED_VALUE"""),105)</f>
        <v>105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x14ac:dyDescent="0.2">
      <c r="A147" s="2">
        <f ca="1">IFERROR(__xludf.DUMMYFUNCTION("""COMPUTED_VALUE"""),13521016)</f>
        <v>13521016</v>
      </c>
      <c r="B147" s="2" t="str">
        <f ca="1">IFERROR(__xludf.DUMMYFUNCTION("""COMPUTED_VALUE"""),"K3")</f>
        <v>K3</v>
      </c>
      <c r="C147" s="2" t="str">
        <f ca="1">IFERROR(__xludf.DUMMYFUNCTION("""COMPUTED_VALUE"""),"Laila Bilbina Khoiru Nisa")</f>
        <v>Laila Bilbina Khoiru Nisa</v>
      </c>
      <c r="D147" s="52">
        <f ca="1">IFERROR(__xludf.DUMMYFUNCTION("""COMPUTED_VALUE"""),94.5)</f>
        <v>94.5</v>
      </c>
      <c r="E147" s="52">
        <f ca="1">IFERROR(__xludf.DUMMYFUNCTION("""COMPUTED_VALUE"""),109)</f>
        <v>109</v>
      </c>
      <c r="F147" s="52">
        <f ca="1">IFERROR(__xludf.DUMMYFUNCTION("""COMPUTED_VALUE"""),101)</f>
        <v>101</v>
      </c>
      <c r="G147" s="52">
        <f ca="1">IFERROR(__xludf.DUMMYFUNCTION("""COMPUTED_VALUE"""),102)</f>
        <v>102</v>
      </c>
      <c r="H147" s="52">
        <f ca="1">IFERROR(__xludf.DUMMYFUNCTION("""COMPUTED_VALUE"""),82)</f>
        <v>82</v>
      </c>
      <c r="I147" s="52">
        <f ca="1">IFERROR(__xludf.DUMMYFUNCTION("""COMPUTED_VALUE"""),85.5)</f>
        <v>85.5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x14ac:dyDescent="0.2">
      <c r="A148" s="2">
        <f ca="1">IFERROR(__xludf.DUMMYFUNCTION("""COMPUTED_VALUE"""),13521018)</f>
        <v>13521018</v>
      </c>
      <c r="B148" s="2" t="str">
        <f ca="1">IFERROR(__xludf.DUMMYFUNCTION("""COMPUTED_VALUE"""),"K3")</f>
        <v>K3</v>
      </c>
      <c r="C148" s="2" t="str">
        <f ca="1">IFERROR(__xludf.DUMMYFUNCTION("""COMPUTED_VALUE"""),"Syarifa Dwi Purnamasari")</f>
        <v>Syarifa Dwi Purnamasari</v>
      </c>
      <c r="D148" s="52">
        <f ca="1">IFERROR(__xludf.DUMMYFUNCTION("""COMPUTED_VALUE"""),94)</f>
        <v>94</v>
      </c>
      <c r="E148" s="52">
        <f ca="1">IFERROR(__xludf.DUMMYFUNCTION("""COMPUTED_VALUE"""),113)</f>
        <v>113</v>
      </c>
      <c r="F148" s="52">
        <f ca="1">IFERROR(__xludf.DUMMYFUNCTION("""COMPUTED_VALUE"""),104)</f>
        <v>104</v>
      </c>
      <c r="G148" s="52">
        <f ca="1">IFERROR(__xludf.DUMMYFUNCTION("""COMPUTED_VALUE"""),103)</f>
        <v>103</v>
      </c>
      <c r="H148" s="52">
        <f ca="1">IFERROR(__xludf.DUMMYFUNCTION("""COMPUTED_VALUE"""),96.5)</f>
        <v>96.5</v>
      </c>
      <c r="I148" s="52">
        <f ca="1">IFERROR(__xludf.DUMMYFUNCTION("""COMPUTED_VALUE"""),85.5)</f>
        <v>85.5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x14ac:dyDescent="0.2">
      <c r="A149" s="2">
        <f ca="1">IFERROR(__xludf.DUMMYFUNCTION("""COMPUTED_VALUE"""),13521019)</f>
        <v>13521019</v>
      </c>
      <c r="B149" s="2" t="str">
        <f ca="1">IFERROR(__xludf.DUMMYFUNCTION("""COMPUTED_VALUE"""),"K3")</f>
        <v>K3</v>
      </c>
      <c r="C149" s="2" t="str">
        <f ca="1">IFERROR(__xludf.DUMMYFUNCTION("""COMPUTED_VALUE"""),"Ditra Rizqa Amadia")</f>
        <v>Ditra Rizqa Amadia</v>
      </c>
      <c r="D149" s="52">
        <f ca="1">IFERROR(__xludf.DUMMYFUNCTION("""COMPUTED_VALUE"""),91.5)</f>
        <v>91.5</v>
      </c>
      <c r="E149" s="52">
        <f ca="1">IFERROR(__xludf.DUMMYFUNCTION("""COMPUTED_VALUE"""),112)</f>
        <v>112</v>
      </c>
      <c r="F149" s="52">
        <f ca="1">IFERROR(__xludf.DUMMYFUNCTION("""COMPUTED_VALUE"""),105)</f>
        <v>105</v>
      </c>
      <c r="G149" s="52">
        <f ca="1">IFERROR(__xludf.DUMMYFUNCTION("""COMPUTED_VALUE"""),104)</f>
        <v>104</v>
      </c>
      <c r="H149" s="52">
        <f ca="1">IFERROR(__xludf.DUMMYFUNCTION("""COMPUTED_VALUE"""),99)</f>
        <v>99</v>
      </c>
      <c r="I149" s="52">
        <f ca="1">IFERROR(__xludf.DUMMYFUNCTION("""COMPUTED_VALUE"""),102.5)</f>
        <v>102.5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x14ac:dyDescent="0.2">
      <c r="A150" s="2">
        <f ca="1">IFERROR(__xludf.DUMMYFUNCTION("""COMPUTED_VALUE"""),13521020)</f>
        <v>13521020</v>
      </c>
      <c r="B150" s="2" t="str">
        <f ca="1">IFERROR(__xludf.DUMMYFUNCTION("""COMPUTED_VALUE"""),"K3")</f>
        <v>K3</v>
      </c>
      <c r="C150" s="2" t="str">
        <f ca="1">IFERROR(__xludf.DUMMYFUNCTION("""COMPUTED_VALUE"""),"Varraz Hazzandra Abrar")</f>
        <v>Varraz Hazzandra Abrar</v>
      </c>
      <c r="D150" s="52">
        <f ca="1">IFERROR(__xludf.DUMMYFUNCTION("""COMPUTED_VALUE"""),63)</f>
        <v>63</v>
      </c>
      <c r="E150" s="52">
        <f ca="1">IFERROR(__xludf.DUMMYFUNCTION("""COMPUTED_VALUE"""),104)</f>
        <v>104</v>
      </c>
      <c r="F150" s="52">
        <f ca="1">IFERROR(__xludf.DUMMYFUNCTION("""COMPUTED_VALUE"""),46)</f>
        <v>46</v>
      </c>
      <c r="G150" s="52">
        <f ca="1">IFERROR(__xludf.DUMMYFUNCTION("""COMPUTED_VALUE"""),102)</f>
        <v>102</v>
      </c>
      <c r="H150" s="52">
        <f ca="1">IFERROR(__xludf.DUMMYFUNCTION("""COMPUTED_VALUE"""),83)</f>
        <v>83</v>
      </c>
      <c r="I150" s="52">
        <f ca="1">IFERROR(__xludf.DUMMYFUNCTION("""COMPUTED_VALUE"""),30)</f>
        <v>30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x14ac:dyDescent="0.2">
      <c r="A151" s="2">
        <f ca="1">IFERROR(__xludf.DUMMYFUNCTION("""COMPUTED_VALUE"""),13521021)</f>
        <v>13521021</v>
      </c>
      <c r="B151" s="2" t="str">
        <f ca="1">IFERROR(__xludf.DUMMYFUNCTION("""COMPUTED_VALUE"""),"K3")</f>
        <v>K3</v>
      </c>
      <c r="C151" s="2" t="str">
        <f ca="1">IFERROR(__xludf.DUMMYFUNCTION("""COMPUTED_VALUE"""),"Bernardus Willson")</f>
        <v>Bernardus Willson</v>
      </c>
      <c r="D151" s="52">
        <f ca="1">IFERROR(__xludf.DUMMYFUNCTION("""COMPUTED_VALUE"""),97.5)</f>
        <v>97.5</v>
      </c>
      <c r="E151" s="52">
        <f ca="1">IFERROR(__xludf.DUMMYFUNCTION("""COMPUTED_VALUE"""),115)</f>
        <v>115</v>
      </c>
      <c r="F151" s="52">
        <f ca="1">IFERROR(__xludf.DUMMYFUNCTION("""COMPUTED_VALUE"""),103)</f>
        <v>103</v>
      </c>
      <c r="G151" s="52">
        <f ca="1">IFERROR(__xludf.DUMMYFUNCTION("""COMPUTED_VALUE"""),104)</f>
        <v>104</v>
      </c>
      <c r="H151" s="52">
        <f ca="1">IFERROR(__xludf.DUMMYFUNCTION("""COMPUTED_VALUE"""),112)</f>
        <v>112</v>
      </c>
      <c r="I151" s="52">
        <f ca="1">IFERROR(__xludf.DUMMYFUNCTION("""COMPUTED_VALUE"""),102.5)</f>
        <v>102.5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x14ac:dyDescent="0.2">
      <c r="A152" s="2">
        <f ca="1">IFERROR(__xludf.DUMMYFUNCTION("""COMPUTED_VALUE"""),13521022)</f>
        <v>13521022</v>
      </c>
      <c r="B152" s="2" t="str">
        <f ca="1">IFERROR(__xludf.DUMMYFUNCTION("""COMPUTED_VALUE"""),"K3")</f>
        <v>K3</v>
      </c>
      <c r="C152" s="2" t="str">
        <f ca="1">IFERROR(__xludf.DUMMYFUNCTION("""COMPUTED_VALUE"""),"Raditya Naufal Abiyu")</f>
        <v>Raditya Naufal Abiyu</v>
      </c>
      <c r="D152" s="52">
        <f ca="1">IFERROR(__xludf.DUMMYFUNCTION("""COMPUTED_VALUE"""),82)</f>
        <v>82</v>
      </c>
      <c r="E152" s="52">
        <f ca="1">IFERROR(__xludf.DUMMYFUNCTION("""COMPUTED_VALUE"""),109)</f>
        <v>109</v>
      </c>
      <c r="F152" s="52">
        <f ca="1">IFERROR(__xludf.DUMMYFUNCTION("""COMPUTED_VALUE"""),103)</f>
        <v>103</v>
      </c>
      <c r="G152" s="52">
        <f ca="1">IFERROR(__xludf.DUMMYFUNCTION("""COMPUTED_VALUE"""),106)</f>
        <v>106</v>
      </c>
      <c r="H152" s="52">
        <f ca="1">IFERROR(__xludf.DUMMYFUNCTION("""COMPUTED_VALUE"""),111)</f>
        <v>111</v>
      </c>
      <c r="I152" s="52">
        <f ca="1">IFERROR(__xludf.DUMMYFUNCTION("""COMPUTED_VALUE"""),102.5)</f>
        <v>102.5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x14ac:dyDescent="0.2">
      <c r="A153" s="2">
        <f ca="1">IFERROR(__xludf.DUMMYFUNCTION("""COMPUTED_VALUE"""),13521023)</f>
        <v>13521023</v>
      </c>
      <c r="B153" s="2" t="str">
        <f ca="1">IFERROR(__xludf.DUMMYFUNCTION("""COMPUTED_VALUE"""),"K3")</f>
        <v>K3</v>
      </c>
      <c r="C153" s="2" t="str">
        <f ca="1">IFERROR(__xludf.DUMMYFUNCTION("""COMPUTED_VALUE"""),"Kenny Benaya Nathan")</f>
        <v>Kenny Benaya Nathan</v>
      </c>
      <c r="D153" s="52">
        <f ca="1">IFERROR(__xludf.DUMMYFUNCTION("""COMPUTED_VALUE"""),97.5)</f>
        <v>97.5</v>
      </c>
      <c r="E153" s="52">
        <f ca="1">IFERROR(__xludf.DUMMYFUNCTION("""COMPUTED_VALUE"""),113)</f>
        <v>113</v>
      </c>
      <c r="F153" s="52">
        <f ca="1">IFERROR(__xludf.DUMMYFUNCTION("""COMPUTED_VALUE"""),104)</f>
        <v>104</v>
      </c>
      <c r="G153" s="52">
        <f ca="1">IFERROR(__xludf.DUMMYFUNCTION("""COMPUTED_VALUE"""),105)</f>
        <v>105</v>
      </c>
      <c r="H153" s="52">
        <f ca="1">IFERROR(__xludf.DUMMYFUNCTION("""COMPUTED_VALUE"""),112)</f>
        <v>112</v>
      </c>
      <c r="I153" s="52">
        <f ca="1">IFERROR(__xludf.DUMMYFUNCTION("""COMPUTED_VALUE"""),70)</f>
        <v>70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x14ac:dyDescent="0.2">
      <c r="A154" s="2">
        <f ca="1">IFERROR(__xludf.DUMMYFUNCTION("""COMPUTED_VALUE"""),13521024)</f>
        <v>13521024</v>
      </c>
      <c r="B154" s="2" t="str">
        <f ca="1">IFERROR(__xludf.DUMMYFUNCTION("""COMPUTED_VALUE"""),"K3")</f>
        <v>K3</v>
      </c>
      <c r="C154" s="2" t="str">
        <f ca="1">IFERROR(__xludf.DUMMYFUNCTION("""COMPUTED_VALUE"""),"Ahmad Nadil")</f>
        <v>Ahmad Nadil</v>
      </c>
      <c r="D154" s="52">
        <f ca="1">IFERROR(__xludf.DUMMYFUNCTION("""COMPUTED_VALUE"""),97.5)</f>
        <v>97.5</v>
      </c>
      <c r="E154" s="52">
        <f ca="1">IFERROR(__xludf.DUMMYFUNCTION("""COMPUTED_VALUE"""),112)</f>
        <v>112</v>
      </c>
      <c r="F154" s="52">
        <f ca="1">IFERROR(__xludf.DUMMYFUNCTION("""COMPUTED_VALUE"""),103)</f>
        <v>103</v>
      </c>
      <c r="G154" s="52">
        <f ca="1">IFERROR(__xludf.DUMMYFUNCTION("""COMPUTED_VALUE"""),105)</f>
        <v>105</v>
      </c>
      <c r="H154" s="52">
        <f ca="1">IFERROR(__xludf.DUMMYFUNCTION("""COMPUTED_VALUE"""),111)</f>
        <v>111</v>
      </c>
      <c r="I154" s="52">
        <f ca="1">IFERROR(__xludf.DUMMYFUNCTION("""COMPUTED_VALUE"""),100.5)</f>
        <v>100.5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x14ac:dyDescent="0.2">
      <c r="A155" s="2">
        <f ca="1">IFERROR(__xludf.DUMMYFUNCTION("""COMPUTED_VALUE"""),13521025)</f>
        <v>13521025</v>
      </c>
      <c r="B155" s="2" t="str">
        <f ca="1">IFERROR(__xludf.DUMMYFUNCTION("""COMPUTED_VALUE"""),"K3")</f>
        <v>K3</v>
      </c>
      <c r="C155" s="2" t="str">
        <f ca="1">IFERROR(__xludf.DUMMYFUNCTION("""COMPUTED_VALUE"""),"Muhammad Haidar Akita Tresnadi")</f>
        <v>Muhammad Haidar Akita Tresnadi</v>
      </c>
      <c r="D155" s="52">
        <f ca="1">IFERROR(__xludf.DUMMYFUNCTION("""COMPUTED_VALUE"""),95.5)</f>
        <v>95.5</v>
      </c>
      <c r="E155" s="52">
        <f ca="1">IFERROR(__xludf.DUMMYFUNCTION("""COMPUTED_VALUE"""),114)</f>
        <v>114</v>
      </c>
      <c r="F155" s="52">
        <f ca="1">IFERROR(__xludf.DUMMYFUNCTION("""COMPUTED_VALUE"""),95)</f>
        <v>95</v>
      </c>
      <c r="G155" s="52">
        <f ca="1">IFERROR(__xludf.DUMMYFUNCTION("""COMPUTED_VALUE"""),104)</f>
        <v>104</v>
      </c>
      <c r="H155" s="52">
        <f ca="1">IFERROR(__xludf.DUMMYFUNCTION("""COMPUTED_VALUE"""),95)</f>
        <v>95</v>
      </c>
      <c r="I155" s="52">
        <f ca="1">IFERROR(__xludf.DUMMYFUNCTION("""COMPUTED_VALUE"""),105)</f>
        <v>105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x14ac:dyDescent="0.2">
      <c r="A156" s="2">
        <f ca="1">IFERROR(__xludf.DUMMYFUNCTION("""COMPUTED_VALUE"""),13521026)</f>
        <v>13521026</v>
      </c>
      <c r="B156" s="2" t="str">
        <f ca="1">IFERROR(__xludf.DUMMYFUNCTION("""COMPUTED_VALUE"""),"K3")</f>
        <v>K3</v>
      </c>
      <c r="C156" s="2" t="str">
        <f ca="1">IFERROR(__xludf.DUMMYFUNCTION("""COMPUTED_VALUE"""),"Kartini Copa")</f>
        <v>Kartini Copa</v>
      </c>
      <c r="D156" s="52">
        <f ca="1">IFERROR(__xludf.DUMMYFUNCTION("""COMPUTED_VALUE"""),92)</f>
        <v>92</v>
      </c>
      <c r="E156" s="52">
        <f ca="1">IFERROR(__xludf.DUMMYFUNCTION("""COMPUTED_VALUE"""),113)</f>
        <v>113</v>
      </c>
      <c r="F156" s="52">
        <f ca="1">IFERROR(__xludf.DUMMYFUNCTION("""COMPUTED_VALUE"""),101)</f>
        <v>101</v>
      </c>
      <c r="G156" s="52">
        <f ca="1">IFERROR(__xludf.DUMMYFUNCTION("""COMPUTED_VALUE"""),102)</f>
        <v>102</v>
      </c>
      <c r="H156" s="52">
        <f ca="1">IFERROR(__xludf.DUMMYFUNCTION("""COMPUTED_VALUE"""),82)</f>
        <v>82</v>
      </c>
      <c r="I156" s="52">
        <f ca="1">IFERROR(__xludf.DUMMYFUNCTION("""COMPUTED_VALUE"""),103)</f>
        <v>103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x14ac:dyDescent="0.2">
      <c r="A157" s="2">
        <f ca="1">IFERROR(__xludf.DUMMYFUNCTION("""COMPUTED_VALUE"""),13521027)</f>
        <v>13521027</v>
      </c>
      <c r="B157" s="2" t="str">
        <f ca="1">IFERROR(__xludf.DUMMYFUNCTION("""COMPUTED_VALUE"""),"K3")</f>
        <v>K3</v>
      </c>
      <c r="C157" s="2" t="str">
        <f ca="1">IFERROR(__xludf.DUMMYFUNCTION("""COMPUTED_VALUE"""),"Agsha Athalla Nurkareem")</f>
        <v>Agsha Athalla Nurkareem</v>
      </c>
      <c r="D157" s="52">
        <f ca="1">IFERROR(__xludf.DUMMYFUNCTION("""COMPUTED_VALUE"""),97.5)</f>
        <v>97.5</v>
      </c>
      <c r="E157" s="52">
        <f ca="1">IFERROR(__xludf.DUMMYFUNCTION("""COMPUTED_VALUE"""),112)</f>
        <v>112</v>
      </c>
      <c r="F157" s="52">
        <f ca="1">IFERROR(__xludf.DUMMYFUNCTION("""COMPUTED_VALUE"""),105)</f>
        <v>105</v>
      </c>
      <c r="G157" s="52">
        <f ca="1">IFERROR(__xludf.DUMMYFUNCTION("""COMPUTED_VALUE"""),102)</f>
        <v>102</v>
      </c>
      <c r="H157" s="52">
        <f ca="1">IFERROR(__xludf.DUMMYFUNCTION("""COMPUTED_VALUE"""),96.5)</f>
        <v>96.5</v>
      </c>
      <c r="I157" s="52">
        <f ca="1">IFERROR(__xludf.DUMMYFUNCTION("""COMPUTED_VALUE"""),94.5)</f>
        <v>94.5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x14ac:dyDescent="0.2">
      <c r="A158" s="2">
        <f ca="1">IFERROR(__xludf.DUMMYFUNCTION("""COMPUTED_VALUE"""),13521028)</f>
        <v>13521028</v>
      </c>
      <c r="B158" s="2" t="str">
        <f ca="1">IFERROR(__xludf.DUMMYFUNCTION("""COMPUTED_VALUE"""),"K3")</f>
        <v>K3</v>
      </c>
      <c r="C158" s="2" t="str">
        <f ca="1">IFERROR(__xludf.DUMMYFUNCTION("""COMPUTED_VALUE"""),"M Zulfiansyah Bayu Pratama")</f>
        <v>M Zulfiansyah Bayu Pratama</v>
      </c>
      <c r="D158" s="52">
        <f ca="1">IFERROR(__xludf.DUMMYFUNCTION("""COMPUTED_VALUE"""),85)</f>
        <v>85</v>
      </c>
      <c r="E158" s="52">
        <f ca="1">IFERROR(__xludf.DUMMYFUNCTION("""COMPUTED_VALUE"""),115)</f>
        <v>115</v>
      </c>
      <c r="F158" s="52">
        <f ca="1">IFERROR(__xludf.DUMMYFUNCTION("""COMPUTED_VALUE"""),102)</f>
        <v>102</v>
      </c>
      <c r="G158" s="52">
        <f ca="1">IFERROR(__xludf.DUMMYFUNCTION("""COMPUTED_VALUE"""),106)</f>
        <v>106</v>
      </c>
      <c r="H158" s="52">
        <f ca="1">IFERROR(__xludf.DUMMYFUNCTION("""COMPUTED_VALUE"""),95)</f>
        <v>95</v>
      </c>
      <c r="I158" s="52">
        <f ca="1">IFERROR(__xludf.DUMMYFUNCTION("""COMPUTED_VALUE"""),91)</f>
        <v>91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x14ac:dyDescent="0.2">
      <c r="A159" s="2">
        <f ca="1">IFERROR(__xludf.DUMMYFUNCTION("""COMPUTED_VALUE"""),13521029)</f>
        <v>13521029</v>
      </c>
      <c r="B159" s="2" t="str">
        <f ca="1">IFERROR(__xludf.DUMMYFUNCTION("""COMPUTED_VALUE"""),"K3")</f>
        <v>K3</v>
      </c>
      <c r="C159" s="2" t="str">
        <f ca="1">IFERROR(__xludf.DUMMYFUNCTION("""COMPUTED_VALUE"""),"M. Malik I. Baharsyah")</f>
        <v>M. Malik I. Baharsyah</v>
      </c>
      <c r="D159" s="52">
        <f ca="1">IFERROR(__xludf.DUMMYFUNCTION("""COMPUTED_VALUE"""),82)</f>
        <v>82</v>
      </c>
      <c r="E159" s="52">
        <f ca="1">IFERROR(__xludf.DUMMYFUNCTION("""COMPUTED_VALUE"""),114)</f>
        <v>114</v>
      </c>
      <c r="F159" s="52">
        <f ca="1">IFERROR(__xludf.DUMMYFUNCTION("""COMPUTED_VALUE"""),96)</f>
        <v>96</v>
      </c>
      <c r="G159" s="52">
        <f ca="1">IFERROR(__xludf.DUMMYFUNCTION("""COMPUTED_VALUE"""),101)</f>
        <v>101</v>
      </c>
      <c r="H159" s="52">
        <f ca="1">IFERROR(__xludf.DUMMYFUNCTION("""COMPUTED_VALUE"""),83)</f>
        <v>83</v>
      </c>
      <c r="I159" s="52">
        <f ca="1">IFERROR(__xludf.DUMMYFUNCTION("""COMPUTED_VALUE"""),86)</f>
        <v>86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x14ac:dyDescent="0.2">
      <c r="A160" s="2">
        <f ca="1">IFERROR(__xludf.DUMMYFUNCTION("""COMPUTED_VALUE"""),13521030)</f>
        <v>13521030</v>
      </c>
      <c r="B160" s="2" t="str">
        <f ca="1">IFERROR(__xludf.DUMMYFUNCTION("""COMPUTED_VALUE"""),"K3")</f>
        <v>K3</v>
      </c>
      <c r="C160" s="2" t="str">
        <f ca="1">IFERROR(__xludf.DUMMYFUNCTION("""COMPUTED_VALUE"""),"Jauza Lathifah Annassalafi")</f>
        <v>Jauza Lathifah Annassalafi</v>
      </c>
      <c r="D160" s="52">
        <f ca="1">IFERROR(__xludf.DUMMYFUNCTION("""COMPUTED_VALUE"""),92)</f>
        <v>92</v>
      </c>
      <c r="E160" s="52">
        <f ca="1">IFERROR(__xludf.DUMMYFUNCTION("""COMPUTED_VALUE"""),113)</f>
        <v>113</v>
      </c>
      <c r="F160" s="52">
        <f ca="1">IFERROR(__xludf.DUMMYFUNCTION("""COMPUTED_VALUE"""),104)</f>
        <v>104</v>
      </c>
      <c r="G160" s="52">
        <f ca="1">IFERROR(__xludf.DUMMYFUNCTION("""COMPUTED_VALUE"""),106)</f>
        <v>106</v>
      </c>
      <c r="H160" s="52">
        <f ca="1">IFERROR(__xludf.DUMMYFUNCTION("""COMPUTED_VALUE"""),98)</f>
        <v>98</v>
      </c>
      <c r="I160" s="52">
        <f ca="1">IFERROR(__xludf.DUMMYFUNCTION("""COMPUTED_VALUE"""),86)</f>
        <v>86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x14ac:dyDescent="0.2">
      <c r="A161" s="2">
        <f ca="1">IFERROR(__xludf.DUMMYFUNCTION("""COMPUTED_VALUE"""),13521031)</f>
        <v>13521031</v>
      </c>
      <c r="B161" s="2" t="str">
        <f ca="1">IFERROR(__xludf.DUMMYFUNCTION("""COMPUTED_VALUE"""),"K3")</f>
        <v>K3</v>
      </c>
      <c r="C161" s="2" t="str">
        <f ca="1">IFERROR(__xludf.DUMMYFUNCTION("""COMPUTED_VALUE"""),"Fahrian Afdholi")</f>
        <v>Fahrian Afdholi</v>
      </c>
      <c r="D161" s="52">
        <f ca="1">IFERROR(__xludf.DUMMYFUNCTION("""COMPUTED_VALUE"""),87.5)</f>
        <v>87.5</v>
      </c>
      <c r="E161" s="52">
        <f ca="1">IFERROR(__xludf.DUMMYFUNCTION("""COMPUTED_VALUE"""),115)</f>
        <v>115</v>
      </c>
      <c r="F161" s="52">
        <f ca="1">IFERROR(__xludf.DUMMYFUNCTION("""COMPUTED_VALUE"""),108)</f>
        <v>108</v>
      </c>
      <c r="G161" s="52">
        <f ca="1">IFERROR(__xludf.DUMMYFUNCTION("""COMPUTED_VALUE"""),106)</f>
        <v>106</v>
      </c>
      <c r="H161" s="52">
        <f ca="1">IFERROR(__xludf.DUMMYFUNCTION("""COMPUTED_VALUE"""),103)</f>
        <v>103</v>
      </c>
      <c r="I161" s="52">
        <f ca="1">IFERROR(__xludf.DUMMYFUNCTION("""COMPUTED_VALUE"""),103)</f>
        <v>103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x14ac:dyDescent="0.2">
      <c r="A162" s="2"/>
      <c r="B162" s="2"/>
      <c r="C162" s="2"/>
      <c r="D162" s="52"/>
      <c r="E162" s="52"/>
      <c r="F162" s="52"/>
      <c r="G162" s="52"/>
      <c r="H162" s="52"/>
      <c r="I162" s="5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x14ac:dyDescent="0.2">
      <c r="A163" s="2"/>
      <c r="B163" s="2"/>
      <c r="C163" s="2"/>
      <c r="D163" s="52"/>
      <c r="E163" s="52"/>
      <c r="F163" s="52"/>
      <c r="G163" s="52"/>
      <c r="H163" s="52"/>
      <c r="I163" s="5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x14ac:dyDescent="0.2">
      <c r="A164" s="2"/>
      <c r="B164" s="2"/>
      <c r="C164" s="2"/>
      <c r="D164" s="52"/>
      <c r="E164" s="52"/>
      <c r="F164" s="52"/>
      <c r="G164" s="52"/>
      <c r="H164" s="52"/>
      <c r="I164" s="5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x14ac:dyDescent="0.2">
      <c r="A165" s="2"/>
      <c r="B165" s="2"/>
      <c r="C165" s="2"/>
      <c r="D165" s="52"/>
      <c r="E165" s="52"/>
      <c r="F165" s="52"/>
      <c r="G165" s="52"/>
      <c r="H165" s="52"/>
      <c r="I165" s="5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x14ac:dyDescent="0.2">
      <c r="A166" s="2"/>
      <c r="B166" s="2"/>
      <c r="C166" s="2"/>
      <c r="D166" s="52"/>
      <c r="E166" s="52"/>
      <c r="F166" s="52"/>
      <c r="G166" s="52"/>
      <c r="H166" s="52"/>
      <c r="I166" s="5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x14ac:dyDescent="0.2">
      <c r="A167" s="2"/>
      <c r="B167" s="2"/>
      <c r="C167" s="2"/>
      <c r="D167" s="52"/>
      <c r="E167" s="52"/>
      <c r="F167" s="52"/>
      <c r="G167" s="52"/>
      <c r="H167" s="52"/>
      <c r="I167" s="5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x14ac:dyDescent="0.2">
      <c r="A168" s="2"/>
      <c r="B168" s="2"/>
      <c r="C168" s="2"/>
      <c r="D168" s="52"/>
      <c r="E168" s="52"/>
      <c r="F168" s="52"/>
      <c r="G168" s="52"/>
      <c r="H168" s="52"/>
      <c r="I168" s="5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x14ac:dyDescent="0.2">
      <c r="A169" s="2"/>
      <c r="B169" s="2"/>
      <c r="C169" s="2"/>
      <c r="D169" s="52"/>
      <c r="E169" s="52"/>
      <c r="F169" s="52"/>
      <c r="G169" s="52"/>
      <c r="H169" s="52"/>
      <c r="I169" s="5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x14ac:dyDescent="0.2">
      <c r="A170" s="2"/>
      <c r="B170" s="2"/>
      <c r="C170" s="2"/>
      <c r="D170" s="52"/>
      <c r="E170" s="52"/>
      <c r="F170" s="52"/>
      <c r="G170" s="52"/>
      <c r="H170" s="52"/>
      <c r="I170" s="5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x14ac:dyDescent="0.2">
      <c r="A171" s="2"/>
      <c r="B171" s="2"/>
      <c r="C171" s="2"/>
      <c r="D171" s="52"/>
      <c r="E171" s="52"/>
      <c r="F171" s="52"/>
      <c r="G171" s="52"/>
      <c r="H171" s="52"/>
      <c r="I171" s="5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x14ac:dyDescent="0.2">
      <c r="A172" s="2"/>
      <c r="B172" s="2"/>
      <c r="C172" s="2"/>
      <c r="D172" s="52"/>
      <c r="E172" s="52"/>
      <c r="F172" s="52"/>
      <c r="G172" s="52"/>
      <c r="H172" s="52"/>
      <c r="I172" s="5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x14ac:dyDescent="0.2">
      <c r="A173" s="2"/>
      <c r="B173" s="2"/>
      <c r="C173" s="2"/>
      <c r="D173" s="52"/>
      <c r="E173" s="52"/>
      <c r="F173" s="52"/>
      <c r="G173" s="52"/>
      <c r="H173" s="52"/>
      <c r="I173" s="5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x14ac:dyDescent="0.2">
      <c r="A174" s="2"/>
      <c r="B174" s="2"/>
      <c r="C174" s="2"/>
      <c r="D174" s="52"/>
      <c r="E174" s="52"/>
      <c r="F174" s="52"/>
      <c r="G174" s="52"/>
      <c r="H174" s="52"/>
      <c r="I174" s="5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x14ac:dyDescent="0.2">
      <c r="A175" s="2"/>
      <c r="B175" s="2"/>
      <c r="C175" s="2"/>
      <c r="D175" s="52"/>
      <c r="E175" s="52"/>
      <c r="F175" s="52"/>
      <c r="G175" s="52"/>
      <c r="H175" s="52"/>
      <c r="I175" s="5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x14ac:dyDescent="0.2">
      <c r="A176" s="2"/>
      <c r="B176" s="2"/>
      <c r="C176" s="2"/>
      <c r="D176" s="52"/>
      <c r="E176" s="52"/>
      <c r="F176" s="52"/>
      <c r="G176" s="52"/>
      <c r="H176" s="52"/>
      <c r="I176" s="5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x14ac:dyDescent="0.2">
      <c r="A177" s="2"/>
      <c r="B177" s="2"/>
      <c r="C177" s="2"/>
      <c r="D177" s="52"/>
      <c r="E177" s="52"/>
      <c r="F177" s="52"/>
      <c r="G177" s="52"/>
      <c r="H177" s="52"/>
      <c r="I177" s="5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x14ac:dyDescent="0.2">
      <c r="A178" s="2"/>
      <c r="B178" s="2"/>
      <c r="C178" s="2"/>
      <c r="D178" s="52"/>
      <c r="E178" s="52"/>
      <c r="F178" s="52"/>
      <c r="G178" s="52"/>
      <c r="H178" s="52"/>
      <c r="I178" s="5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x14ac:dyDescent="0.2">
      <c r="A179" s="2"/>
      <c r="B179" s="2"/>
      <c r="C179" s="2"/>
      <c r="D179" s="52"/>
      <c r="E179" s="52"/>
      <c r="F179" s="52"/>
      <c r="G179" s="52"/>
      <c r="H179" s="52"/>
      <c r="I179" s="5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x14ac:dyDescent="0.2">
      <c r="A180" s="2"/>
      <c r="B180" s="2"/>
      <c r="C180" s="2"/>
      <c r="D180" s="52"/>
      <c r="E180" s="52"/>
      <c r="F180" s="52"/>
      <c r="G180" s="52"/>
      <c r="H180" s="52"/>
      <c r="I180" s="5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x14ac:dyDescent="0.2">
      <c r="A181" s="2"/>
      <c r="B181" s="2"/>
      <c r="C181" s="2"/>
      <c r="D181" s="52"/>
      <c r="E181" s="52"/>
      <c r="F181" s="52"/>
      <c r="G181" s="52"/>
      <c r="H181" s="52"/>
      <c r="I181" s="5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x14ac:dyDescent="0.2">
      <c r="A182" s="2"/>
      <c r="B182" s="2"/>
      <c r="C182" s="2"/>
      <c r="D182" s="52"/>
      <c r="E182" s="52"/>
      <c r="F182" s="52"/>
      <c r="G182" s="52"/>
      <c r="H182" s="52"/>
      <c r="I182" s="5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x14ac:dyDescent="0.2">
      <c r="A183" s="2"/>
      <c r="B183" s="2"/>
      <c r="C183" s="2"/>
      <c r="D183" s="52"/>
      <c r="E183" s="52"/>
      <c r="F183" s="52"/>
      <c r="G183" s="52"/>
      <c r="H183" s="52"/>
      <c r="I183" s="5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x14ac:dyDescent="0.2">
      <c r="A184" s="2"/>
      <c r="B184" s="2"/>
      <c r="C184" s="2"/>
      <c r="D184" s="52"/>
      <c r="E184" s="52"/>
      <c r="F184" s="52"/>
      <c r="G184" s="52"/>
      <c r="H184" s="52"/>
      <c r="I184" s="5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x14ac:dyDescent="0.2">
      <c r="A185" s="2"/>
      <c r="B185" s="2"/>
      <c r="C185" s="2"/>
      <c r="D185" s="52"/>
      <c r="E185" s="52"/>
      <c r="F185" s="52"/>
      <c r="G185" s="52"/>
      <c r="H185" s="52"/>
      <c r="I185" s="5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x14ac:dyDescent="0.2">
      <c r="A186" s="2"/>
      <c r="B186" s="2"/>
      <c r="C186" s="2"/>
      <c r="D186" s="52"/>
      <c r="E186" s="52"/>
      <c r="F186" s="52"/>
      <c r="G186" s="52"/>
      <c r="H186" s="52"/>
      <c r="I186" s="5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x14ac:dyDescent="0.2">
      <c r="A187" s="2"/>
      <c r="B187" s="2"/>
      <c r="C187" s="2"/>
      <c r="D187" s="52"/>
      <c r="E187" s="52"/>
      <c r="F187" s="52"/>
      <c r="G187" s="52"/>
      <c r="H187" s="52"/>
      <c r="I187" s="5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x14ac:dyDescent="0.2">
      <c r="A188" s="2"/>
      <c r="B188" s="2"/>
      <c r="C188" s="2"/>
      <c r="D188" s="52"/>
      <c r="E188" s="52"/>
      <c r="F188" s="52"/>
      <c r="G188" s="52"/>
      <c r="H188" s="52"/>
      <c r="I188" s="5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x14ac:dyDescent="0.2">
      <c r="A189" s="2"/>
      <c r="B189" s="2"/>
      <c r="C189" s="2"/>
      <c r="D189" s="52"/>
      <c r="E189" s="52"/>
      <c r="F189" s="52"/>
      <c r="G189" s="52"/>
      <c r="H189" s="52"/>
      <c r="I189" s="5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x14ac:dyDescent="0.2">
      <c r="A190" s="2"/>
      <c r="B190" s="2"/>
      <c r="C190" s="2"/>
      <c r="D190" s="52"/>
      <c r="E190" s="52"/>
      <c r="F190" s="52"/>
      <c r="G190" s="52"/>
      <c r="H190" s="52"/>
      <c r="I190" s="5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x14ac:dyDescent="0.2">
      <c r="A191" s="2"/>
      <c r="B191" s="2"/>
      <c r="C191" s="2"/>
      <c r="D191" s="52"/>
      <c r="E191" s="52"/>
      <c r="F191" s="52"/>
      <c r="G191" s="52"/>
      <c r="H191" s="52"/>
      <c r="I191" s="5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x14ac:dyDescent="0.2">
      <c r="A192" s="2"/>
      <c r="B192" s="2"/>
      <c r="C192" s="2"/>
      <c r="D192" s="52"/>
      <c r="E192" s="52"/>
      <c r="F192" s="52"/>
      <c r="G192" s="52"/>
      <c r="H192" s="52"/>
      <c r="I192" s="5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x14ac:dyDescent="0.2">
      <c r="A193" s="2"/>
      <c r="B193" s="2"/>
      <c r="C193" s="2"/>
      <c r="D193" s="52"/>
      <c r="E193" s="52"/>
      <c r="F193" s="52"/>
      <c r="G193" s="52"/>
      <c r="H193" s="52"/>
      <c r="I193" s="5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x14ac:dyDescent="0.2">
      <c r="A194" s="2"/>
      <c r="B194" s="2"/>
      <c r="C194" s="2"/>
      <c r="D194" s="52"/>
      <c r="E194" s="52"/>
      <c r="F194" s="52"/>
      <c r="G194" s="52"/>
      <c r="H194" s="52"/>
      <c r="I194" s="5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x14ac:dyDescent="0.2">
      <c r="A195" s="2"/>
      <c r="B195" s="2"/>
      <c r="C195" s="2"/>
      <c r="D195" s="52"/>
      <c r="E195" s="52"/>
      <c r="F195" s="52"/>
      <c r="G195" s="52"/>
      <c r="H195" s="52"/>
      <c r="I195" s="5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x14ac:dyDescent="0.2">
      <c r="A196" s="2"/>
      <c r="B196" s="2"/>
      <c r="C196" s="2"/>
      <c r="D196" s="52"/>
      <c r="E196" s="52"/>
      <c r="F196" s="52"/>
      <c r="G196" s="52"/>
      <c r="H196" s="52"/>
      <c r="I196" s="5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x14ac:dyDescent="0.2">
      <c r="A197" s="2"/>
      <c r="B197" s="2"/>
      <c r="C197" s="2"/>
      <c r="D197" s="52"/>
      <c r="E197" s="52"/>
      <c r="F197" s="52"/>
      <c r="G197" s="52"/>
      <c r="H197" s="52"/>
      <c r="I197" s="5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x14ac:dyDescent="0.2">
      <c r="A198" s="2"/>
      <c r="B198" s="2"/>
      <c r="C198" s="2"/>
      <c r="D198" s="52"/>
      <c r="E198" s="52"/>
      <c r="F198" s="52"/>
      <c r="G198" s="52"/>
      <c r="H198" s="52"/>
      <c r="I198" s="5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x14ac:dyDescent="0.2">
      <c r="A199" s="2"/>
      <c r="B199" s="2"/>
      <c r="C199" s="2"/>
      <c r="D199" s="52"/>
      <c r="E199" s="52"/>
      <c r="F199" s="52"/>
      <c r="G199" s="52"/>
      <c r="H199" s="52"/>
      <c r="I199" s="5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x14ac:dyDescent="0.2">
      <c r="A200" s="2"/>
      <c r="B200" s="2"/>
      <c r="C200" s="2"/>
      <c r="D200" s="52"/>
      <c r="E200" s="52"/>
      <c r="F200" s="52"/>
      <c r="G200" s="52"/>
      <c r="H200" s="52"/>
      <c r="I200" s="5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x14ac:dyDescent="0.2">
      <c r="A201" s="2"/>
      <c r="B201" s="2"/>
      <c r="C201" s="2"/>
      <c r="D201" s="52"/>
      <c r="E201" s="52"/>
      <c r="F201" s="52"/>
      <c r="G201" s="52"/>
      <c r="H201" s="52"/>
      <c r="I201" s="5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x14ac:dyDescent="0.2">
      <c r="A202" s="2"/>
      <c r="B202" s="2"/>
      <c r="C202" s="2"/>
      <c r="D202" s="52"/>
      <c r="E202" s="52"/>
      <c r="F202" s="52"/>
      <c r="G202" s="52"/>
      <c r="H202" s="52"/>
      <c r="I202" s="5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x14ac:dyDescent="0.2">
      <c r="A203" s="2"/>
      <c r="B203" s="2"/>
      <c r="C203" s="2"/>
      <c r="D203" s="52"/>
      <c r="E203" s="52"/>
      <c r="F203" s="52"/>
      <c r="G203" s="52"/>
      <c r="H203" s="52"/>
      <c r="I203" s="5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x14ac:dyDescent="0.2">
      <c r="A204" s="2"/>
      <c r="B204" s="2"/>
      <c r="C204" s="2"/>
      <c r="D204" s="52"/>
      <c r="E204" s="52"/>
      <c r="F204" s="52"/>
      <c r="G204" s="52"/>
      <c r="H204" s="52"/>
      <c r="I204" s="5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x14ac:dyDescent="0.2">
      <c r="A205" s="2"/>
      <c r="B205" s="2"/>
      <c r="C205" s="2"/>
      <c r="D205" s="52"/>
      <c r="E205" s="52"/>
      <c r="F205" s="52"/>
      <c r="G205" s="52"/>
      <c r="H205" s="52"/>
      <c r="I205" s="5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x14ac:dyDescent="0.2">
      <c r="A206" s="2"/>
      <c r="B206" s="2"/>
      <c r="C206" s="2"/>
      <c r="D206" s="52"/>
      <c r="E206" s="52"/>
      <c r="F206" s="52"/>
      <c r="G206" s="52"/>
      <c r="H206" s="52"/>
      <c r="I206" s="5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x14ac:dyDescent="0.2">
      <c r="A207" s="2"/>
      <c r="B207" s="2"/>
      <c r="C207" s="2"/>
      <c r="D207" s="52"/>
      <c r="E207" s="52"/>
      <c r="F207" s="52"/>
      <c r="G207" s="52"/>
      <c r="H207" s="52"/>
      <c r="I207" s="5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x14ac:dyDescent="0.2">
      <c r="A208" s="2"/>
      <c r="B208" s="2"/>
      <c r="C208" s="2"/>
      <c r="D208" s="52"/>
      <c r="E208" s="52"/>
      <c r="F208" s="52"/>
      <c r="G208" s="52"/>
      <c r="H208" s="52"/>
      <c r="I208" s="5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x14ac:dyDescent="0.2">
      <c r="A209" s="2"/>
      <c r="B209" s="2"/>
      <c r="C209" s="2"/>
      <c r="D209" s="52"/>
      <c r="E209" s="52"/>
      <c r="F209" s="52"/>
      <c r="G209" s="52"/>
      <c r="H209" s="52"/>
      <c r="I209" s="5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x14ac:dyDescent="0.2">
      <c r="A210" s="2"/>
      <c r="B210" s="2"/>
      <c r="C210" s="2"/>
      <c r="D210" s="52"/>
      <c r="E210" s="52"/>
      <c r="F210" s="52"/>
      <c r="G210" s="52"/>
      <c r="H210" s="52"/>
      <c r="I210" s="5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x14ac:dyDescent="0.2">
      <c r="A211" s="2"/>
      <c r="B211" s="2"/>
      <c r="C211" s="2"/>
      <c r="D211" s="52"/>
      <c r="E211" s="52"/>
      <c r="F211" s="52"/>
      <c r="G211" s="52"/>
      <c r="H211" s="52"/>
      <c r="I211" s="5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x14ac:dyDescent="0.2">
      <c r="A212" s="2"/>
      <c r="B212" s="2"/>
      <c r="C212" s="2"/>
      <c r="D212" s="52"/>
      <c r="E212" s="52"/>
      <c r="F212" s="52"/>
      <c r="G212" s="52"/>
      <c r="H212" s="52"/>
      <c r="I212" s="5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x14ac:dyDescent="0.2">
      <c r="A213" s="2"/>
      <c r="B213" s="2"/>
      <c r="C213" s="2"/>
      <c r="D213" s="52"/>
      <c r="E213" s="52"/>
      <c r="F213" s="52"/>
      <c r="G213" s="52"/>
      <c r="H213" s="52"/>
      <c r="I213" s="5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x14ac:dyDescent="0.2">
      <c r="A214" s="2"/>
      <c r="B214" s="2"/>
      <c r="C214" s="2"/>
      <c r="D214" s="52"/>
      <c r="E214" s="52"/>
      <c r="F214" s="52"/>
      <c r="G214" s="52"/>
      <c r="H214" s="52"/>
      <c r="I214" s="5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x14ac:dyDescent="0.2">
      <c r="A215" s="2"/>
      <c r="B215" s="2"/>
      <c r="C215" s="2"/>
      <c r="D215" s="52"/>
      <c r="E215" s="52"/>
      <c r="F215" s="52"/>
      <c r="G215" s="52"/>
      <c r="H215" s="52"/>
      <c r="I215" s="5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x14ac:dyDescent="0.2">
      <c r="A216" s="2"/>
      <c r="B216" s="2"/>
      <c r="C216" s="2"/>
      <c r="D216" s="52"/>
      <c r="E216" s="52"/>
      <c r="F216" s="52"/>
      <c r="G216" s="52"/>
      <c r="H216" s="52"/>
      <c r="I216" s="5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x14ac:dyDescent="0.2">
      <c r="A217" s="2"/>
      <c r="B217" s="2"/>
      <c r="C217" s="2"/>
      <c r="D217" s="52"/>
      <c r="E217" s="52"/>
      <c r="F217" s="52"/>
      <c r="G217" s="52"/>
      <c r="H217" s="52"/>
      <c r="I217" s="5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x14ac:dyDescent="0.2">
      <c r="A218" s="2"/>
      <c r="B218" s="2"/>
      <c r="C218" s="2"/>
      <c r="D218" s="52"/>
      <c r="E218" s="52"/>
      <c r="F218" s="52"/>
      <c r="G218" s="52"/>
      <c r="H218" s="52"/>
      <c r="I218" s="5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x14ac:dyDescent="0.2">
      <c r="A219" s="2"/>
      <c r="B219" s="2"/>
      <c r="C219" s="2"/>
      <c r="D219" s="52"/>
      <c r="E219" s="52"/>
      <c r="F219" s="52"/>
      <c r="G219" s="52"/>
      <c r="H219" s="52"/>
      <c r="I219" s="5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x14ac:dyDescent="0.2">
      <c r="A220" s="2"/>
      <c r="B220" s="2"/>
      <c r="C220" s="2"/>
      <c r="D220" s="52"/>
      <c r="E220" s="52"/>
      <c r="F220" s="52"/>
      <c r="G220" s="52"/>
      <c r="H220" s="52"/>
      <c r="I220" s="5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x14ac:dyDescent="0.2">
      <c r="A221" s="2"/>
      <c r="B221" s="2"/>
      <c r="C221" s="2"/>
      <c r="D221" s="52"/>
      <c r="E221" s="52"/>
      <c r="F221" s="52"/>
      <c r="G221" s="52"/>
      <c r="H221" s="52"/>
      <c r="I221" s="5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x14ac:dyDescent="0.2">
      <c r="A222" s="2"/>
      <c r="B222" s="2"/>
      <c r="C222" s="2"/>
      <c r="D222" s="52"/>
      <c r="E222" s="52"/>
      <c r="F222" s="52"/>
      <c r="G222" s="52"/>
      <c r="H222" s="52"/>
      <c r="I222" s="5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x14ac:dyDescent="0.2">
      <c r="A223" s="2"/>
      <c r="B223" s="2"/>
      <c r="C223" s="2"/>
      <c r="D223" s="52"/>
      <c r="E223" s="52"/>
      <c r="F223" s="52"/>
      <c r="G223" s="52"/>
      <c r="H223" s="52"/>
      <c r="I223" s="5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x14ac:dyDescent="0.2">
      <c r="A224" s="2"/>
      <c r="B224" s="2"/>
      <c r="C224" s="2"/>
      <c r="D224" s="52"/>
      <c r="E224" s="52"/>
      <c r="F224" s="52"/>
      <c r="G224" s="52"/>
      <c r="H224" s="52"/>
      <c r="I224" s="5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x14ac:dyDescent="0.2">
      <c r="A225" s="2"/>
      <c r="B225" s="2"/>
      <c r="C225" s="2"/>
      <c r="D225" s="52"/>
      <c r="E225" s="52"/>
      <c r="F225" s="52"/>
      <c r="G225" s="52"/>
      <c r="H225" s="52"/>
      <c r="I225" s="5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x14ac:dyDescent="0.2">
      <c r="A226" s="2"/>
      <c r="B226" s="2"/>
      <c r="C226" s="2"/>
      <c r="D226" s="52"/>
      <c r="E226" s="52"/>
      <c r="F226" s="52"/>
      <c r="G226" s="52"/>
      <c r="H226" s="52"/>
      <c r="I226" s="5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x14ac:dyDescent="0.2">
      <c r="A227" s="2"/>
      <c r="B227" s="2"/>
      <c r="C227" s="2"/>
      <c r="D227" s="52"/>
      <c r="E227" s="52"/>
      <c r="F227" s="52"/>
      <c r="G227" s="52"/>
      <c r="H227" s="52"/>
      <c r="I227" s="5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x14ac:dyDescent="0.2">
      <c r="A228" s="2"/>
      <c r="B228" s="2"/>
      <c r="C228" s="2"/>
      <c r="D228" s="52"/>
      <c r="E228" s="52"/>
      <c r="F228" s="52"/>
      <c r="G228" s="52"/>
      <c r="H228" s="52"/>
      <c r="I228" s="5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x14ac:dyDescent="0.2">
      <c r="A229" s="2"/>
      <c r="B229" s="2"/>
      <c r="C229" s="2"/>
      <c r="D229" s="52"/>
      <c r="E229" s="52"/>
      <c r="F229" s="52"/>
      <c r="G229" s="52"/>
      <c r="H229" s="52"/>
      <c r="I229" s="5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x14ac:dyDescent="0.2">
      <c r="A230" s="2"/>
      <c r="B230" s="2"/>
      <c r="C230" s="2"/>
      <c r="D230" s="52"/>
      <c r="E230" s="52"/>
      <c r="F230" s="52"/>
      <c r="G230" s="52"/>
      <c r="H230" s="52"/>
      <c r="I230" s="5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x14ac:dyDescent="0.2">
      <c r="A231" s="2"/>
      <c r="B231" s="2"/>
      <c r="C231" s="2"/>
      <c r="D231" s="52"/>
      <c r="E231" s="52"/>
      <c r="F231" s="52"/>
      <c r="G231" s="52"/>
      <c r="H231" s="52"/>
      <c r="I231" s="5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x14ac:dyDescent="0.2">
      <c r="A232" s="2"/>
      <c r="B232" s="2"/>
      <c r="C232" s="2"/>
      <c r="D232" s="52"/>
      <c r="E232" s="52"/>
      <c r="F232" s="52"/>
      <c r="G232" s="52"/>
      <c r="H232" s="52"/>
      <c r="I232" s="5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x14ac:dyDescent="0.2">
      <c r="A233" s="2"/>
      <c r="B233" s="2"/>
      <c r="C233" s="2"/>
      <c r="D233" s="52"/>
      <c r="E233" s="52"/>
      <c r="F233" s="52"/>
      <c r="G233" s="52"/>
      <c r="H233" s="52"/>
      <c r="I233" s="5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x14ac:dyDescent="0.2">
      <c r="A234" s="2"/>
      <c r="B234" s="2"/>
      <c r="C234" s="2"/>
      <c r="D234" s="52"/>
      <c r="E234" s="52"/>
      <c r="F234" s="52"/>
      <c r="G234" s="52"/>
      <c r="H234" s="52"/>
      <c r="I234" s="5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x14ac:dyDescent="0.2">
      <c r="A235" s="2"/>
      <c r="B235" s="2"/>
      <c r="C235" s="2"/>
      <c r="D235" s="52"/>
      <c r="E235" s="52"/>
      <c r="F235" s="52"/>
      <c r="G235" s="52"/>
      <c r="H235" s="52"/>
      <c r="I235" s="5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x14ac:dyDescent="0.2">
      <c r="A236" s="2"/>
      <c r="B236" s="2"/>
      <c r="C236" s="2"/>
      <c r="D236" s="52"/>
      <c r="E236" s="52"/>
      <c r="F236" s="52"/>
      <c r="G236" s="52"/>
      <c r="H236" s="52"/>
      <c r="I236" s="5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x14ac:dyDescent="0.2">
      <c r="A237" s="2"/>
      <c r="B237" s="2"/>
      <c r="C237" s="2"/>
      <c r="D237" s="52"/>
      <c r="E237" s="52"/>
      <c r="F237" s="52"/>
      <c r="G237" s="52"/>
      <c r="H237" s="52"/>
      <c r="I237" s="5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x14ac:dyDescent="0.2">
      <c r="A238" s="2"/>
      <c r="B238" s="2"/>
      <c r="C238" s="2"/>
      <c r="D238" s="52"/>
      <c r="E238" s="52"/>
      <c r="F238" s="52"/>
      <c r="G238" s="52"/>
      <c r="H238" s="52"/>
      <c r="I238" s="5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x14ac:dyDescent="0.2">
      <c r="A239" s="2"/>
      <c r="B239" s="2"/>
      <c r="C239" s="2"/>
      <c r="D239" s="52"/>
      <c r="E239" s="52"/>
      <c r="F239" s="52"/>
      <c r="G239" s="52"/>
      <c r="H239" s="52"/>
      <c r="I239" s="5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x14ac:dyDescent="0.2">
      <c r="A240" s="2"/>
      <c r="B240" s="2"/>
      <c r="C240" s="2"/>
      <c r="D240" s="52"/>
      <c r="E240" s="52"/>
      <c r="F240" s="52"/>
      <c r="G240" s="52"/>
      <c r="H240" s="52"/>
      <c r="I240" s="5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x14ac:dyDescent="0.2">
      <c r="A241" s="2"/>
      <c r="B241" s="2"/>
      <c r="C241" s="2"/>
      <c r="D241" s="52"/>
      <c r="E241" s="52"/>
      <c r="F241" s="52"/>
      <c r="G241" s="52"/>
      <c r="H241" s="52"/>
      <c r="I241" s="5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x14ac:dyDescent="0.2">
      <c r="A242" s="2"/>
      <c r="B242" s="2"/>
      <c r="C242" s="2"/>
      <c r="D242" s="52"/>
      <c r="E242" s="52"/>
      <c r="F242" s="52"/>
      <c r="G242" s="52"/>
      <c r="H242" s="52"/>
      <c r="I242" s="5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x14ac:dyDescent="0.2">
      <c r="A243" s="2"/>
      <c r="B243" s="2"/>
      <c r="C243" s="2"/>
      <c r="D243" s="52"/>
      <c r="E243" s="52"/>
      <c r="F243" s="52"/>
      <c r="G243" s="52"/>
      <c r="H243" s="52"/>
      <c r="I243" s="5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x14ac:dyDescent="0.2">
      <c r="A244" s="2"/>
      <c r="B244" s="2"/>
      <c r="C244" s="2"/>
      <c r="D244" s="52"/>
      <c r="E244" s="52"/>
      <c r="F244" s="52"/>
      <c r="G244" s="52"/>
      <c r="H244" s="52"/>
      <c r="I244" s="5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x14ac:dyDescent="0.2">
      <c r="A245" s="2"/>
      <c r="B245" s="2"/>
      <c r="C245" s="2"/>
      <c r="D245" s="52"/>
      <c r="E245" s="52"/>
      <c r="F245" s="52"/>
      <c r="G245" s="52"/>
      <c r="H245" s="52"/>
      <c r="I245" s="5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x14ac:dyDescent="0.2">
      <c r="A246" s="2"/>
      <c r="B246" s="2"/>
      <c r="C246" s="2"/>
      <c r="D246" s="52"/>
      <c r="E246" s="52"/>
      <c r="F246" s="52"/>
      <c r="G246" s="52"/>
      <c r="H246" s="52"/>
      <c r="I246" s="5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x14ac:dyDescent="0.2">
      <c r="A247" s="2"/>
      <c r="B247" s="2"/>
      <c r="C247" s="2"/>
      <c r="D247" s="52"/>
      <c r="E247" s="52"/>
      <c r="F247" s="52"/>
      <c r="G247" s="52"/>
      <c r="H247" s="52"/>
      <c r="I247" s="5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x14ac:dyDescent="0.2">
      <c r="A248" s="2"/>
      <c r="B248" s="2"/>
      <c r="C248" s="2"/>
      <c r="D248" s="52"/>
      <c r="E248" s="52"/>
      <c r="F248" s="52"/>
      <c r="G248" s="52"/>
      <c r="H248" s="52"/>
      <c r="I248" s="5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x14ac:dyDescent="0.2">
      <c r="A249" s="2"/>
      <c r="B249" s="2"/>
      <c r="C249" s="2"/>
      <c r="D249" s="52"/>
      <c r="E249" s="52"/>
      <c r="F249" s="52"/>
      <c r="G249" s="52"/>
      <c r="H249" s="52"/>
      <c r="I249" s="5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x14ac:dyDescent="0.2">
      <c r="A250" s="2"/>
      <c r="B250" s="2"/>
      <c r="C250" s="2"/>
      <c r="D250" s="52"/>
      <c r="E250" s="52"/>
      <c r="F250" s="52"/>
      <c r="G250" s="52"/>
      <c r="H250" s="52"/>
      <c r="I250" s="5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x14ac:dyDescent="0.2">
      <c r="A251" s="2"/>
      <c r="B251" s="2"/>
      <c r="C251" s="2"/>
      <c r="D251" s="52"/>
      <c r="E251" s="52"/>
      <c r="F251" s="52"/>
      <c r="G251" s="52"/>
      <c r="H251" s="52"/>
      <c r="I251" s="5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x14ac:dyDescent="0.2">
      <c r="A252" s="2"/>
      <c r="B252" s="2"/>
      <c r="C252" s="2"/>
      <c r="D252" s="52"/>
      <c r="E252" s="52"/>
      <c r="F252" s="52"/>
      <c r="G252" s="52"/>
      <c r="H252" s="52"/>
      <c r="I252" s="5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x14ac:dyDescent="0.2">
      <c r="A253" s="2"/>
      <c r="B253" s="2"/>
      <c r="C253" s="2"/>
      <c r="D253" s="52"/>
      <c r="E253" s="52"/>
      <c r="F253" s="52"/>
      <c r="G253" s="52"/>
      <c r="H253" s="52"/>
      <c r="I253" s="5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x14ac:dyDescent="0.2">
      <c r="A254" s="2"/>
      <c r="B254" s="2"/>
      <c r="C254" s="2"/>
      <c r="D254" s="52"/>
      <c r="E254" s="52"/>
      <c r="F254" s="52"/>
      <c r="G254" s="52"/>
      <c r="H254" s="52"/>
      <c r="I254" s="5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x14ac:dyDescent="0.2">
      <c r="A255" s="2"/>
      <c r="B255" s="2"/>
      <c r="C255" s="2"/>
      <c r="D255" s="52"/>
      <c r="E255" s="52"/>
      <c r="F255" s="52"/>
      <c r="G255" s="52"/>
      <c r="H255" s="52"/>
      <c r="I255" s="5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x14ac:dyDescent="0.2">
      <c r="A256" s="2"/>
      <c r="B256" s="2"/>
      <c r="C256" s="2"/>
      <c r="D256" s="52"/>
      <c r="E256" s="52"/>
      <c r="F256" s="52"/>
      <c r="G256" s="52"/>
      <c r="H256" s="52"/>
      <c r="I256" s="5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x14ac:dyDescent="0.2">
      <c r="A257" s="2"/>
      <c r="B257" s="2"/>
      <c r="C257" s="2"/>
      <c r="D257" s="52"/>
      <c r="E257" s="52"/>
      <c r="F257" s="52"/>
      <c r="G257" s="52"/>
      <c r="H257" s="52"/>
      <c r="I257" s="5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x14ac:dyDescent="0.2">
      <c r="A258" s="2"/>
      <c r="B258" s="2"/>
      <c r="C258" s="2"/>
      <c r="D258" s="52"/>
      <c r="E258" s="52"/>
      <c r="F258" s="52"/>
      <c r="G258" s="52"/>
      <c r="H258" s="52"/>
      <c r="I258" s="5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x14ac:dyDescent="0.2">
      <c r="A259" s="2"/>
      <c r="B259" s="2"/>
      <c r="C259" s="2"/>
      <c r="D259" s="52"/>
      <c r="E259" s="52"/>
      <c r="F259" s="52"/>
      <c r="G259" s="52"/>
      <c r="H259" s="52"/>
      <c r="I259" s="5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x14ac:dyDescent="0.2">
      <c r="A260" s="2"/>
      <c r="B260" s="2"/>
      <c r="C260" s="2"/>
      <c r="D260" s="52"/>
      <c r="E260" s="52"/>
      <c r="F260" s="52"/>
      <c r="G260" s="52"/>
      <c r="H260" s="52"/>
      <c r="I260" s="5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x14ac:dyDescent="0.2">
      <c r="A261" s="2"/>
      <c r="B261" s="2"/>
      <c r="C261" s="2"/>
      <c r="D261" s="52"/>
      <c r="E261" s="52"/>
      <c r="F261" s="52"/>
      <c r="G261" s="52"/>
      <c r="H261" s="52"/>
      <c r="I261" s="5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x14ac:dyDescent="0.2">
      <c r="A262" s="2"/>
      <c r="B262" s="2"/>
      <c r="C262" s="2"/>
      <c r="D262" s="52"/>
      <c r="E262" s="52"/>
      <c r="F262" s="52"/>
      <c r="G262" s="52"/>
      <c r="H262" s="52"/>
      <c r="I262" s="5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x14ac:dyDescent="0.2">
      <c r="A263" s="2"/>
      <c r="B263" s="2"/>
      <c r="C263" s="2"/>
      <c r="D263" s="52"/>
      <c r="E263" s="52"/>
      <c r="F263" s="52"/>
      <c r="G263" s="52"/>
      <c r="H263" s="52"/>
      <c r="I263" s="5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x14ac:dyDescent="0.2">
      <c r="A264" s="2"/>
      <c r="B264" s="2"/>
      <c r="C264" s="2"/>
      <c r="D264" s="52"/>
      <c r="E264" s="52"/>
      <c r="F264" s="52"/>
      <c r="G264" s="52"/>
      <c r="H264" s="52"/>
      <c r="I264" s="5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x14ac:dyDescent="0.2">
      <c r="A265" s="2"/>
      <c r="B265" s="2"/>
      <c r="C265" s="2"/>
      <c r="D265" s="52"/>
      <c r="E265" s="52"/>
      <c r="F265" s="52"/>
      <c r="G265" s="52"/>
      <c r="H265" s="52"/>
      <c r="I265" s="5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x14ac:dyDescent="0.2">
      <c r="A266" s="2"/>
      <c r="B266" s="2"/>
      <c r="C266" s="2"/>
      <c r="D266" s="52"/>
      <c r="E266" s="52"/>
      <c r="F266" s="52"/>
      <c r="G266" s="52"/>
      <c r="H266" s="52"/>
      <c r="I266" s="5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x14ac:dyDescent="0.2">
      <c r="A267" s="2"/>
      <c r="B267" s="2"/>
      <c r="C267" s="2"/>
      <c r="D267" s="52"/>
      <c r="E267" s="52"/>
      <c r="F267" s="52"/>
      <c r="G267" s="52"/>
      <c r="H267" s="52"/>
      <c r="I267" s="5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x14ac:dyDescent="0.2">
      <c r="A268" s="2"/>
      <c r="B268" s="2"/>
      <c r="C268" s="2"/>
      <c r="D268" s="52"/>
      <c r="E268" s="52"/>
      <c r="F268" s="52"/>
      <c r="G268" s="52"/>
      <c r="H268" s="52"/>
      <c r="I268" s="5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x14ac:dyDescent="0.2">
      <c r="A269" s="2"/>
      <c r="B269" s="2"/>
      <c r="C269" s="2"/>
      <c r="D269" s="52"/>
      <c r="E269" s="52"/>
      <c r="F269" s="52"/>
      <c r="G269" s="52"/>
      <c r="H269" s="52"/>
      <c r="I269" s="5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x14ac:dyDescent="0.2">
      <c r="A270" s="2"/>
      <c r="B270" s="2"/>
      <c r="C270" s="2"/>
      <c r="D270" s="52"/>
      <c r="E270" s="52"/>
      <c r="F270" s="52"/>
      <c r="G270" s="52"/>
      <c r="H270" s="52"/>
      <c r="I270" s="5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x14ac:dyDescent="0.2">
      <c r="A271" s="2"/>
      <c r="B271" s="2"/>
      <c r="C271" s="2"/>
      <c r="D271" s="52"/>
      <c r="E271" s="52"/>
      <c r="F271" s="52"/>
      <c r="G271" s="52"/>
      <c r="H271" s="52"/>
      <c r="I271" s="5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x14ac:dyDescent="0.2">
      <c r="A272" s="2"/>
      <c r="B272" s="2"/>
      <c r="C272" s="2"/>
      <c r="D272" s="52"/>
      <c r="E272" s="52"/>
      <c r="F272" s="52"/>
      <c r="G272" s="52"/>
      <c r="H272" s="52"/>
      <c r="I272" s="5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x14ac:dyDescent="0.2">
      <c r="A273" s="2"/>
      <c r="B273" s="2"/>
      <c r="C273" s="2"/>
      <c r="D273" s="52"/>
      <c r="E273" s="52"/>
      <c r="F273" s="52"/>
      <c r="G273" s="52"/>
      <c r="H273" s="52"/>
      <c r="I273" s="5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x14ac:dyDescent="0.2">
      <c r="A274" s="2"/>
      <c r="B274" s="2"/>
      <c r="C274" s="2"/>
      <c r="D274" s="52"/>
      <c r="E274" s="52"/>
      <c r="F274" s="52"/>
      <c r="G274" s="52"/>
      <c r="H274" s="52"/>
      <c r="I274" s="5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x14ac:dyDescent="0.2">
      <c r="A275" s="2"/>
      <c r="B275" s="2"/>
      <c r="C275" s="2"/>
      <c r="D275" s="52"/>
      <c r="E275" s="52"/>
      <c r="F275" s="52"/>
      <c r="G275" s="52"/>
      <c r="H275" s="52"/>
      <c r="I275" s="5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x14ac:dyDescent="0.2">
      <c r="A276" s="2"/>
      <c r="B276" s="2"/>
      <c r="C276" s="2"/>
      <c r="D276" s="52"/>
      <c r="E276" s="52"/>
      <c r="F276" s="52"/>
      <c r="G276" s="52"/>
      <c r="H276" s="52"/>
      <c r="I276" s="5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x14ac:dyDescent="0.2">
      <c r="A277" s="2"/>
      <c r="B277" s="2"/>
      <c r="C277" s="2"/>
      <c r="D277" s="52"/>
      <c r="E277" s="52"/>
      <c r="F277" s="52"/>
      <c r="G277" s="52"/>
      <c r="H277" s="52"/>
      <c r="I277" s="5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x14ac:dyDescent="0.2">
      <c r="A278" s="2"/>
      <c r="B278" s="2"/>
      <c r="C278" s="2"/>
      <c r="D278" s="52"/>
      <c r="E278" s="52"/>
      <c r="F278" s="52"/>
      <c r="G278" s="52"/>
      <c r="H278" s="52"/>
      <c r="I278" s="5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x14ac:dyDescent="0.2">
      <c r="A279" s="2"/>
      <c r="B279" s="2"/>
      <c r="C279" s="2"/>
      <c r="D279" s="52"/>
      <c r="E279" s="52"/>
      <c r="F279" s="52"/>
      <c r="G279" s="52"/>
      <c r="H279" s="52"/>
      <c r="I279" s="5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x14ac:dyDescent="0.2">
      <c r="A280" s="2"/>
      <c r="B280" s="2"/>
      <c r="C280" s="2"/>
      <c r="D280" s="52"/>
      <c r="E280" s="52"/>
      <c r="F280" s="52"/>
      <c r="G280" s="52"/>
      <c r="H280" s="52"/>
      <c r="I280" s="5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x14ac:dyDescent="0.2">
      <c r="A281" s="2"/>
      <c r="B281" s="2"/>
      <c r="C281" s="2"/>
      <c r="D281" s="52"/>
      <c r="E281" s="52"/>
      <c r="F281" s="52"/>
      <c r="G281" s="52"/>
      <c r="H281" s="52"/>
      <c r="I281" s="5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x14ac:dyDescent="0.2">
      <c r="A282" s="2"/>
      <c r="B282" s="2"/>
      <c r="C282" s="2"/>
      <c r="D282" s="52"/>
      <c r="E282" s="52"/>
      <c r="F282" s="52"/>
      <c r="G282" s="52"/>
      <c r="H282" s="52"/>
      <c r="I282" s="5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x14ac:dyDescent="0.2">
      <c r="A283" s="2"/>
      <c r="B283" s="2"/>
      <c r="C283" s="2"/>
      <c r="D283" s="52"/>
      <c r="E283" s="52"/>
      <c r="F283" s="52"/>
      <c r="G283" s="52"/>
      <c r="H283" s="52"/>
      <c r="I283" s="5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x14ac:dyDescent="0.2">
      <c r="A284" s="2"/>
      <c r="B284" s="2"/>
      <c r="C284" s="2"/>
      <c r="D284" s="52"/>
      <c r="E284" s="52"/>
      <c r="F284" s="52"/>
      <c r="G284" s="52"/>
      <c r="H284" s="52"/>
      <c r="I284" s="5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x14ac:dyDescent="0.2">
      <c r="A285" s="2"/>
      <c r="B285" s="2"/>
      <c r="C285" s="2"/>
      <c r="D285" s="52"/>
      <c r="E285" s="52"/>
      <c r="F285" s="52"/>
      <c r="G285" s="52"/>
      <c r="H285" s="52"/>
      <c r="I285" s="5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x14ac:dyDescent="0.2">
      <c r="A286" s="2"/>
      <c r="B286" s="2"/>
      <c r="C286" s="2"/>
      <c r="D286" s="52"/>
      <c r="E286" s="52"/>
      <c r="F286" s="52"/>
      <c r="G286" s="52"/>
      <c r="H286" s="52"/>
      <c r="I286" s="5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x14ac:dyDescent="0.2">
      <c r="A287" s="2"/>
      <c r="B287" s="2"/>
      <c r="C287" s="2"/>
      <c r="D287" s="52"/>
      <c r="E287" s="52"/>
      <c r="F287" s="52"/>
      <c r="G287" s="52"/>
      <c r="H287" s="52"/>
      <c r="I287" s="5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x14ac:dyDescent="0.2">
      <c r="A288" s="2"/>
      <c r="B288" s="2"/>
      <c r="C288" s="2"/>
      <c r="D288" s="52"/>
      <c r="E288" s="52"/>
      <c r="F288" s="52"/>
      <c r="G288" s="52"/>
      <c r="H288" s="52"/>
      <c r="I288" s="5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x14ac:dyDescent="0.2">
      <c r="A289" s="2"/>
      <c r="B289" s="2"/>
      <c r="C289" s="2"/>
      <c r="D289" s="52"/>
      <c r="E289" s="52"/>
      <c r="F289" s="52"/>
      <c r="G289" s="52"/>
      <c r="H289" s="52"/>
      <c r="I289" s="5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x14ac:dyDescent="0.2">
      <c r="A290" s="2"/>
      <c r="B290" s="2"/>
      <c r="C290" s="2"/>
      <c r="D290" s="52"/>
      <c r="E290" s="52"/>
      <c r="F290" s="52"/>
      <c r="G290" s="52"/>
      <c r="H290" s="52"/>
      <c r="I290" s="5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x14ac:dyDescent="0.2">
      <c r="A291" s="2"/>
      <c r="B291" s="2"/>
      <c r="C291" s="2"/>
      <c r="D291" s="52"/>
      <c r="E291" s="52"/>
      <c r="F291" s="52"/>
      <c r="G291" s="52"/>
      <c r="H291" s="52"/>
      <c r="I291" s="5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x14ac:dyDescent="0.2">
      <c r="A292" s="2"/>
      <c r="B292" s="2"/>
      <c r="C292" s="2"/>
      <c r="D292" s="52"/>
      <c r="E292" s="52"/>
      <c r="F292" s="52"/>
      <c r="G292" s="52"/>
      <c r="H292" s="52"/>
      <c r="I292" s="5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x14ac:dyDescent="0.2">
      <c r="A293" s="2"/>
      <c r="B293" s="2"/>
      <c r="C293" s="2"/>
      <c r="D293" s="52"/>
      <c r="E293" s="52"/>
      <c r="F293" s="52"/>
      <c r="G293" s="52"/>
      <c r="H293" s="52"/>
      <c r="I293" s="5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x14ac:dyDescent="0.2">
      <c r="A294" s="2"/>
      <c r="B294" s="2"/>
      <c r="C294" s="2"/>
      <c r="D294" s="52"/>
      <c r="E294" s="52"/>
      <c r="F294" s="52"/>
      <c r="G294" s="52"/>
      <c r="H294" s="52"/>
      <c r="I294" s="5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x14ac:dyDescent="0.2">
      <c r="A295" s="2"/>
      <c r="B295" s="2"/>
      <c r="C295" s="2"/>
      <c r="D295" s="52"/>
      <c r="E295" s="52"/>
      <c r="F295" s="52"/>
      <c r="G295" s="52"/>
      <c r="H295" s="52"/>
      <c r="I295" s="5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x14ac:dyDescent="0.2">
      <c r="A296" s="2"/>
      <c r="B296" s="2"/>
      <c r="C296" s="2"/>
      <c r="D296" s="52"/>
      <c r="E296" s="52"/>
      <c r="F296" s="52"/>
      <c r="G296" s="52"/>
      <c r="H296" s="52"/>
      <c r="I296" s="5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x14ac:dyDescent="0.2">
      <c r="A297" s="2"/>
      <c r="B297" s="2"/>
      <c r="C297" s="2"/>
      <c r="D297" s="52"/>
      <c r="E297" s="52"/>
      <c r="F297" s="52"/>
      <c r="G297" s="52"/>
      <c r="H297" s="52"/>
      <c r="I297" s="5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x14ac:dyDescent="0.2">
      <c r="A298" s="2"/>
      <c r="B298" s="2"/>
      <c r="C298" s="2"/>
      <c r="D298" s="52"/>
      <c r="E298" s="52"/>
      <c r="F298" s="52"/>
      <c r="G298" s="52"/>
      <c r="H298" s="52"/>
      <c r="I298" s="5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x14ac:dyDescent="0.2">
      <c r="A299" s="2"/>
      <c r="B299" s="2"/>
      <c r="C299" s="2"/>
      <c r="D299" s="52"/>
      <c r="E299" s="52"/>
      <c r="F299" s="52"/>
      <c r="G299" s="52"/>
      <c r="H299" s="52"/>
      <c r="I299" s="5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x14ac:dyDescent="0.2">
      <c r="A300" s="2"/>
      <c r="B300" s="2"/>
      <c r="C300" s="2"/>
      <c r="D300" s="52"/>
      <c r="E300" s="52"/>
      <c r="F300" s="52"/>
      <c r="G300" s="52"/>
      <c r="H300" s="52"/>
      <c r="I300" s="5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x14ac:dyDescent="0.2">
      <c r="A301" s="2"/>
      <c r="B301" s="2"/>
      <c r="C301" s="2"/>
      <c r="D301" s="52"/>
      <c r="E301" s="52"/>
      <c r="F301" s="52"/>
      <c r="G301" s="52"/>
      <c r="H301" s="52"/>
      <c r="I301" s="5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x14ac:dyDescent="0.2">
      <c r="A302" s="2"/>
      <c r="B302" s="2"/>
      <c r="C302" s="2"/>
      <c r="D302" s="52"/>
      <c r="E302" s="52"/>
      <c r="F302" s="52"/>
      <c r="G302" s="52"/>
      <c r="H302" s="52"/>
      <c r="I302" s="5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x14ac:dyDescent="0.2">
      <c r="A303" s="2"/>
      <c r="B303" s="2"/>
      <c r="C303" s="2"/>
      <c r="D303" s="52"/>
      <c r="E303" s="52"/>
      <c r="F303" s="52"/>
      <c r="G303" s="52"/>
      <c r="H303" s="52"/>
      <c r="I303" s="5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x14ac:dyDescent="0.2">
      <c r="A304" s="2"/>
      <c r="B304" s="2"/>
      <c r="C304" s="2"/>
      <c r="D304" s="52"/>
      <c r="E304" s="52"/>
      <c r="F304" s="52"/>
      <c r="G304" s="52"/>
      <c r="H304" s="52"/>
      <c r="I304" s="5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x14ac:dyDescent="0.2">
      <c r="A305" s="2"/>
      <c r="B305" s="2"/>
      <c r="C305" s="2"/>
      <c r="D305" s="52"/>
      <c r="E305" s="52"/>
      <c r="F305" s="52"/>
      <c r="G305" s="52"/>
      <c r="H305" s="52"/>
      <c r="I305" s="5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x14ac:dyDescent="0.2">
      <c r="A306" s="2"/>
      <c r="B306" s="2"/>
      <c r="C306" s="2"/>
      <c r="D306" s="52"/>
      <c r="E306" s="52"/>
      <c r="F306" s="52"/>
      <c r="G306" s="52"/>
      <c r="H306" s="52"/>
      <c r="I306" s="5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x14ac:dyDescent="0.2">
      <c r="A307" s="2"/>
      <c r="B307" s="2"/>
      <c r="C307" s="2"/>
      <c r="D307" s="52"/>
      <c r="E307" s="52"/>
      <c r="F307" s="52"/>
      <c r="G307" s="52"/>
      <c r="H307" s="52"/>
      <c r="I307" s="5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x14ac:dyDescent="0.2">
      <c r="A308" s="2"/>
      <c r="B308" s="2"/>
      <c r="C308" s="2"/>
      <c r="D308" s="52"/>
      <c r="E308" s="52"/>
      <c r="F308" s="52"/>
      <c r="G308" s="52"/>
      <c r="H308" s="52"/>
      <c r="I308" s="5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x14ac:dyDescent="0.2">
      <c r="A309" s="2"/>
      <c r="B309" s="2"/>
      <c r="C309" s="2"/>
      <c r="D309" s="52"/>
      <c r="E309" s="52"/>
      <c r="F309" s="52"/>
      <c r="G309" s="52"/>
      <c r="H309" s="52"/>
      <c r="I309" s="5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x14ac:dyDescent="0.2">
      <c r="A310" s="2"/>
      <c r="B310" s="2"/>
      <c r="C310" s="2"/>
      <c r="D310" s="52"/>
      <c r="E310" s="52"/>
      <c r="F310" s="52"/>
      <c r="G310" s="52"/>
      <c r="H310" s="52"/>
      <c r="I310" s="5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x14ac:dyDescent="0.2">
      <c r="A311" s="2"/>
      <c r="B311" s="2"/>
      <c r="C311" s="2"/>
      <c r="D311" s="52"/>
      <c r="E311" s="52"/>
      <c r="F311" s="52"/>
      <c r="G311" s="52"/>
      <c r="H311" s="52"/>
      <c r="I311" s="5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x14ac:dyDescent="0.2">
      <c r="A312" s="2"/>
      <c r="B312" s="2"/>
      <c r="C312" s="2"/>
      <c r="D312" s="52"/>
      <c r="E312" s="52"/>
      <c r="F312" s="52"/>
      <c r="G312" s="52"/>
      <c r="H312" s="52"/>
      <c r="I312" s="5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x14ac:dyDescent="0.2">
      <c r="A313" s="2"/>
      <c r="B313" s="2"/>
      <c r="C313" s="2"/>
      <c r="D313" s="52"/>
      <c r="E313" s="52"/>
      <c r="F313" s="52"/>
      <c r="G313" s="52"/>
      <c r="H313" s="52"/>
      <c r="I313" s="5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x14ac:dyDescent="0.2">
      <c r="A314" s="2"/>
      <c r="B314" s="2"/>
      <c r="C314" s="2"/>
      <c r="D314" s="52"/>
      <c r="E314" s="52"/>
      <c r="F314" s="52"/>
      <c r="G314" s="52"/>
      <c r="H314" s="52"/>
      <c r="I314" s="5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x14ac:dyDescent="0.2">
      <c r="A315" s="2"/>
      <c r="B315" s="2"/>
      <c r="C315" s="2"/>
      <c r="D315" s="52"/>
      <c r="E315" s="52"/>
      <c r="F315" s="52"/>
      <c r="G315" s="52"/>
      <c r="H315" s="52"/>
      <c r="I315" s="5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x14ac:dyDescent="0.2">
      <c r="A316" s="2"/>
      <c r="B316" s="2"/>
      <c r="C316" s="2"/>
      <c r="D316" s="52"/>
      <c r="E316" s="52"/>
      <c r="F316" s="52"/>
      <c r="G316" s="52"/>
      <c r="H316" s="52"/>
      <c r="I316" s="5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x14ac:dyDescent="0.2">
      <c r="A317" s="2"/>
      <c r="B317" s="2"/>
      <c r="C317" s="2"/>
      <c r="D317" s="52"/>
      <c r="E317" s="52"/>
      <c r="F317" s="52"/>
      <c r="G317" s="52"/>
      <c r="H317" s="52"/>
      <c r="I317" s="5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x14ac:dyDescent="0.2">
      <c r="A318" s="2"/>
      <c r="B318" s="2"/>
      <c r="C318" s="2"/>
      <c r="D318" s="52"/>
      <c r="E318" s="52"/>
      <c r="F318" s="52"/>
      <c r="G318" s="52"/>
      <c r="H318" s="52"/>
      <c r="I318" s="5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x14ac:dyDescent="0.2">
      <c r="A319" s="2"/>
      <c r="B319" s="2"/>
      <c r="C319" s="2"/>
      <c r="D319" s="52"/>
      <c r="E319" s="52"/>
      <c r="F319" s="52"/>
      <c r="G319" s="52"/>
      <c r="H319" s="52"/>
      <c r="I319" s="5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x14ac:dyDescent="0.2">
      <c r="A320" s="2"/>
      <c r="B320" s="2"/>
      <c r="C320" s="2"/>
      <c r="D320" s="52"/>
      <c r="E320" s="52"/>
      <c r="F320" s="52"/>
      <c r="G320" s="52"/>
      <c r="H320" s="52"/>
      <c r="I320" s="5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x14ac:dyDescent="0.2">
      <c r="A321" s="2"/>
      <c r="B321" s="2"/>
      <c r="C321" s="2"/>
      <c r="D321" s="52"/>
      <c r="E321" s="52"/>
      <c r="F321" s="52"/>
      <c r="G321" s="52"/>
      <c r="H321" s="52"/>
      <c r="I321" s="5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x14ac:dyDescent="0.2">
      <c r="A322" s="2"/>
      <c r="B322" s="2"/>
      <c r="C322" s="2"/>
      <c r="D322" s="52"/>
      <c r="E322" s="52"/>
      <c r="F322" s="52"/>
      <c r="G322" s="52"/>
      <c r="H322" s="52"/>
      <c r="I322" s="5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x14ac:dyDescent="0.2">
      <c r="A323" s="2"/>
      <c r="B323" s="2"/>
      <c r="C323" s="2"/>
      <c r="D323" s="52"/>
      <c r="E323" s="52"/>
      <c r="F323" s="52"/>
      <c r="G323" s="52"/>
      <c r="H323" s="52"/>
      <c r="I323" s="5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x14ac:dyDescent="0.2">
      <c r="A324" s="2"/>
      <c r="B324" s="2"/>
      <c r="C324" s="2"/>
      <c r="D324" s="52"/>
      <c r="E324" s="52"/>
      <c r="F324" s="52"/>
      <c r="G324" s="52"/>
      <c r="H324" s="52"/>
      <c r="I324" s="5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x14ac:dyDescent="0.2">
      <c r="A325" s="2"/>
      <c r="B325" s="2"/>
      <c r="C325" s="2"/>
      <c r="D325" s="52"/>
      <c r="E325" s="52"/>
      <c r="F325" s="52"/>
      <c r="G325" s="52"/>
      <c r="H325" s="52"/>
      <c r="I325" s="5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x14ac:dyDescent="0.2">
      <c r="A326" s="2"/>
      <c r="B326" s="2"/>
      <c r="C326" s="2"/>
      <c r="D326" s="52"/>
      <c r="E326" s="52"/>
      <c r="F326" s="52"/>
      <c r="G326" s="52"/>
      <c r="H326" s="52"/>
      <c r="I326" s="5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x14ac:dyDescent="0.2">
      <c r="A327" s="2"/>
      <c r="B327" s="2"/>
      <c r="C327" s="2"/>
      <c r="D327" s="52"/>
      <c r="E327" s="52"/>
      <c r="F327" s="52"/>
      <c r="G327" s="52"/>
      <c r="H327" s="52"/>
      <c r="I327" s="5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x14ac:dyDescent="0.2">
      <c r="A328" s="2"/>
      <c r="B328" s="2"/>
      <c r="C328" s="2"/>
      <c r="D328" s="52"/>
      <c r="E328" s="52"/>
      <c r="F328" s="52"/>
      <c r="G328" s="52"/>
      <c r="H328" s="52"/>
      <c r="I328" s="5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x14ac:dyDescent="0.2">
      <c r="A329" s="2"/>
      <c r="B329" s="2"/>
      <c r="C329" s="2"/>
      <c r="D329" s="52"/>
      <c r="E329" s="52"/>
      <c r="F329" s="52"/>
      <c r="G329" s="52"/>
      <c r="H329" s="52"/>
      <c r="I329" s="5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x14ac:dyDescent="0.2">
      <c r="A330" s="2"/>
      <c r="B330" s="2"/>
      <c r="C330" s="2"/>
      <c r="D330" s="52"/>
      <c r="E330" s="52"/>
      <c r="F330" s="52"/>
      <c r="G330" s="52"/>
      <c r="H330" s="52"/>
      <c r="I330" s="5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x14ac:dyDescent="0.2">
      <c r="A331" s="2"/>
      <c r="B331" s="2"/>
      <c r="C331" s="2"/>
      <c r="D331" s="52"/>
      <c r="E331" s="52"/>
      <c r="F331" s="52"/>
      <c r="G331" s="52"/>
      <c r="H331" s="52"/>
      <c r="I331" s="5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x14ac:dyDescent="0.2">
      <c r="A332" s="2"/>
      <c r="B332" s="2"/>
      <c r="C332" s="2"/>
      <c r="D332" s="52"/>
      <c r="E332" s="52"/>
      <c r="F332" s="52"/>
      <c r="G332" s="52"/>
      <c r="H332" s="52"/>
      <c r="I332" s="5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x14ac:dyDescent="0.2">
      <c r="A333" s="2"/>
      <c r="B333" s="2"/>
      <c r="C333" s="2"/>
      <c r="D333" s="52"/>
      <c r="E333" s="52"/>
      <c r="F333" s="52"/>
      <c r="G333" s="52"/>
      <c r="H333" s="52"/>
      <c r="I333" s="5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x14ac:dyDescent="0.2">
      <c r="A334" s="2"/>
      <c r="B334" s="2"/>
      <c r="C334" s="2"/>
      <c r="D334" s="52"/>
      <c r="E334" s="52"/>
      <c r="F334" s="52"/>
      <c r="G334" s="52"/>
      <c r="H334" s="52"/>
      <c r="I334" s="5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x14ac:dyDescent="0.2">
      <c r="A335" s="2"/>
      <c r="B335" s="2"/>
      <c r="C335" s="2"/>
      <c r="D335" s="52"/>
      <c r="E335" s="52"/>
      <c r="F335" s="52"/>
      <c r="G335" s="52"/>
      <c r="H335" s="52"/>
      <c r="I335" s="5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x14ac:dyDescent="0.2">
      <c r="A336" s="2"/>
      <c r="B336" s="2"/>
      <c r="C336" s="2"/>
      <c r="D336" s="52"/>
      <c r="E336" s="52"/>
      <c r="F336" s="52"/>
      <c r="G336" s="52"/>
      <c r="H336" s="52"/>
      <c r="I336" s="5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x14ac:dyDescent="0.2">
      <c r="A337" s="2"/>
      <c r="B337" s="2"/>
      <c r="C337" s="2"/>
      <c r="D337" s="52"/>
      <c r="E337" s="52"/>
      <c r="F337" s="52"/>
      <c r="G337" s="52"/>
      <c r="H337" s="52"/>
      <c r="I337" s="5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x14ac:dyDescent="0.2">
      <c r="A338" s="2"/>
      <c r="B338" s="2"/>
      <c r="C338" s="2"/>
      <c r="D338" s="52"/>
      <c r="E338" s="52"/>
      <c r="F338" s="52"/>
      <c r="G338" s="52"/>
      <c r="H338" s="52"/>
      <c r="I338" s="5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x14ac:dyDescent="0.2">
      <c r="A339" s="2"/>
      <c r="B339" s="2"/>
      <c r="C339" s="2"/>
      <c r="D339" s="52"/>
      <c r="E339" s="52"/>
      <c r="F339" s="52"/>
      <c r="G339" s="52"/>
      <c r="H339" s="52"/>
      <c r="I339" s="5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x14ac:dyDescent="0.2">
      <c r="A340" s="2"/>
      <c r="B340" s="2"/>
      <c r="C340" s="2"/>
      <c r="D340" s="52"/>
      <c r="E340" s="52"/>
      <c r="F340" s="52"/>
      <c r="G340" s="52"/>
      <c r="H340" s="52"/>
      <c r="I340" s="5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x14ac:dyDescent="0.2">
      <c r="A341" s="2"/>
      <c r="B341" s="2"/>
      <c r="C341" s="2"/>
      <c r="D341" s="52"/>
      <c r="E341" s="52"/>
      <c r="F341" s="52"/>
      <c r="G341" s="52"/>
      <c r="H341" s="52"/>
      <c r="I341" s="5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x14ac:dyDescent="0.2">
      <c r="A342" s="2"/>
      <c r="B342" s="2"/>
      <c r="C342" s="2"/>
      <c r="D342" s="52"/>
      <c r="E342" s="52"/>
      <c r="F342" s="52"/>
      <c r="G342" s="52"/>
      <c r="H342" s="52"/>
      <c r="I342" s="5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x14ac:dyDescent="0.2">
      <c r="A343" s="2"/>
      <c r="B343" s="2"/>
      <c r="C343" s="2"/>
      <c r="D343" s="52"/>
      <c r="E343" s="52"/>
      <c r="F343" s="52"/>
      <c r="G343" s="52"/>
      <c r="H343" s="52"/>
      <c r="I343" s="5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x14ac:dyDescent="0.2">
      <c r="A344" s="2"/>
      <c r="B344" s="2"/>
      <c r="C344" s="2"/>
      <c r="D344" s="52"/>
      <c r="E344" s="52"/>
      <c r="F344" s="52"/>
      <c r="G344" s="52"/>
      <c r="H344" s="52"/>
      <c r="I344" s="5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x14ac:dyDescent="0.2">
      <c r="A345" s="2"/>
      <c r="B345" s="2"/>
      <c r="C345" s="2"/>
      <c r="D345" s="52"/>
      <c r="E345" s="52"/>
      <c r="F345" s="52"/>
      <c r="G345" s="52"/>
      <c r="H345" s="52"/>
      <c r="I345" s="5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x14ac:dyDescent="0.2">
      <c r="A346" s="2"/>
      <c r="B346" s="2"/>
      <c r="C346" s="2"/>
      <c r="D346" s="52"/>
      <c r="E346" s="52"/>
      <c r="F346" s="52"/>
      <c r="G346" s="52"/>
      <c r="H346" s="52"/>
      <c r="I346" s="5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x14ac:dyDescent="0.2">
      <c r="A347" s="2"/>
      <c r="B347" s="2"/>
      <c r="C347" s="2"/>
      <c r="D347" s="52"/>
      <c r="E347" s="52"/>
      <c r="F347" s="52"/>
      <c r="G347" s="52"/>
      <c r="H347" s="52"/>
      <c r="I347" s="5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x14ac:dyDescent="0.2">
      <c r="A348" s="2"/>
      <c r="B348" s="2"/>
      <c r="C348" s="2"/>
      <c r="D348" s="52"/>
      <c r="E348" s="52"/>
      <c r="F348" s="52"/>
      <c r="G348" s="52"/>
      <c r="H348" s="52"/>
      <c r="I348" s="5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x14ac:dyDescent="0.2">
      <c r="A349" s="2"/>
      <c r="B349" s="2"/>
      <c r="C349" s="2"/>
      <c r="D349" s="52"/>
      <c r="E349" s="52"/>
      <c r="F349" s="52"/>
      <c r="G349" s="52"/>
      <c r="H349" s="52"/>
      <c r="I349" s="5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x14ac:dyDescent="0.2">
      <c r="A350" s="2"/>
      <c r="B350" s="2"/>
      <c r="C350" s="2"/>
      <c r="D350" s="52"/>
      <c r="E350" s="52"/>
      <c r="F350" s="52"/>
      <c r="G350" s="52"/>
      <c r="H350" s="52"/>
      <c r="I350" s="5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x14ac:dyDescent="0.2">
      <c r="A351" s="2"/>
      <c r="B351" s="2"/>
      <c r="C351" s="2"/>
      <c r="D351" s="52"/>
      <c r="E351" s="52"/>
      <c r="F351" s="52"/>
      <c r="G351" s="52"/>
      <c r="H351" s="52"/>
      <c r="I351" s="5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x14ac:dyDescent="0.2">
      <c r="A352" s="2"/>
      <c r="B352" s="2"/>
      <c r="C352" s="2"/>
      <c r="D352" s="52"/>
      <c r="E352" s="52"/>
      <c r="F352" s="52"/>
      <c r="G352" s="52"/>
      <c r="H352" s="52"/>
      <c r="I352" s="5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x14ac:dyDescent="0.2">
      <c r="A353" s="2"/>
      <c r="B353" s="2"/>
      <c r="C353" s="2"/>
      <c r="D353" s="52"/>
      <c r="E353" s="52"/>
      <c r="F353" s="52"/>
      <c r="G353" s="52"/>
      <c r="H353" s="52"/>
      <c r="I353" s="5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x14ac:dyDescent="0.2">
      <c r="A354" s="2"/>
      <c r="B354" s="2"/>
      <c r="C354" s="2"/>
      <c r="D354" s="52"/>
      <c r="E354" s="52"/>
      <c r="F354" s="52"/>
      <c r="G354" s="52"/>
      <c r="H354" s="52"/>
      <c r="I354" s="5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x14ac:dyDescent="0.2">
      <c r="A355" s="2"/>
      <c r="B355" s="2"/>
      <c r="C355" s="2"/>
      <c r="D355" s="52"/>
      <c r="E355" s="52"/>
      <c r="F355" s="52"/>
      <c r="G355" s="52"/>
      <c r="H355" s="52"/>
      <c r="I355" s="5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x14ac:dyDescent="0.2">
      <c r="A356" s="2"/>
      <c r="B356" s="2"/>
      <c r="C356" s="2"/>
      <c r="D356" s="52"/>
      <c r="E356" s="52"/>
      <c r="F356" s="52"/>
      <c r="G356" s="52"/>
      <c r="H356" s="52"/>
      <c r="I356" s="5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x14ac:dyDescent="0.2">
      <c r="A357" s="2"/>
      <c r="B357" s="2"/>
      <c r="C357" s="2"/>
      <c r="D357" s="52"/>
      <c r="E357" s="52"/>
      <c r="F357" s="52"/>
      <c r="G357" s="52"/>
      <c r="H357" s="52"/>
      <c r="I357" s="5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x14ac:dyDescent="0.2">
      <c r="A358" s="2"/>
      <c r="B358" s="2"/>
      <c r="C358" s="2"/>
      <c r="D358" s="52"/>
      <c r="E358" s="52"/>
      <c r="F358" s="52"/>
      <c r="G358" s="52"/>
      <c r="H358" s="52"/>
      <c r="I358" s="5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x14ac:dyDescent="0.2">
      <c r="A359" s="2"/>
      <c r="B359" s="2"/>
      <c r="C359" s="2"/>
      <c r="D359" s="52"/>
      <c r="E359" s="52"/>
      <c r="F359" s="52"/>
      <c r="G359" s="52"/>
      <c r="H359" s="52"/>
      <c r="I359" s="5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x14ac:dyDescent="0.2">
      <c r="A360" s="2"/>
      <c r="B360" s="2"/>
      <c r="C360" s="2"/>
      <c r="D360" s="52"/>
      <c r="E360" s="52"/>
      <c r="F360" s="52"/>
      <c r="G360" s="52"/>
      <c r="H360" s="52"/>
      <c r="I360" s="5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x14ac:dyDescent="0.2">
      <c r="A361" s="2"/>
      <c r="B361" s="2"/>
      <c r="C361" s="2"/>
      <c r="D361" s="52"/>
      <c r="E361" s="52"/>
      <c r="F361" s="52"/>
      <c r="G361" s="52"/>
      <c r="H361" s="52"/>
      <c r="I361" s="5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x14ac:dyDescent="0.2">
      <c r="A362" s="2"/>
      <c r="B362" s="2"/>
      <c r="C362" s="2"/>
      <c r="D362" s="52"/>
      <c r="E362" s="52"/>
      <c r="F362" s="52"/>
      <c r="G362" s="52"/>
      <c r="H362" s="52"/>
      <c r="I362" s="5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x14ac:dyDescent="0.2">
      <c r="A363" s="2"/>
      <c r="B363" s="2"/>
      <c r="C363" s="2"/>
      <c r="D363" s="52"/>
      <c r="E363" s="52"/>
      <c r="F363" s="52"/>
      <c r="G363" s="52"/>
      <c r="H363" s="52"/>
      <c r="I363" s="5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x14ac:dyDescent="0.2">
      <c r="A364" s="2"/>
      <c r="B364" s="2"/>
      <c r="C364" s="2"/>
      <c r="D364" s="52"/>
      <c r="E364" s="52"/>
      <c r="F364" s="52"/>
      <c r="G364" s="52"/>
      <c r="H364" s="52"/>
      <c r="I364" s="5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x14ac:dyDescent="0.2">
      <c r="A365" s="2"/>
      <c r="B365" s="2"/>
      <c r="C365" s="2"/>
      <c r="D365" s="52"/>
      <c r="E365" s="52"/>
      <c r="F365" s="52"/>
      <c r="G365" s="52"/>
      <c r="H365" s="52"/>
      <c r="I365" s="5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x14ac:dyDescent="0.2">
      <c r="A366" s="2"/>
      <c r="B366" s="2"/>
      <c r="C366" s="2"/>
      <c r="D366" s="52"/>
      <c r="E366" s="52"/>
      <c r="F366" s="52"/>
      <c r="G366" s="52"/>
      <c r="H366" s="52"/>
      <c r="I366" s="5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x14ac:dyDescent="0.2">
      <c r="A367" s="2"/>
      <c r="B367" s="2"/>
      <c r="C367" s="2"/>
      <c r="D367" s="52"/>
      <c r="E367" s="52"/>
      <c r="F367" s="52"/>
      <c r="G367" s="52"/>
      <c r="H367" s="52"/>
      <c r="I367" s="5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x14ac:dyDescent="0.2">
      <c r="A368" s="2"/>
      <c r="B368" s="2"/>
      <c r="C368" s="2"/>
      <c r="D368" s="52"/>
      <c r="E368" s="52"/>
      <c r="F368" s="52"/>
      <c r="G368" s="52"/>
      <c r="H368" s="52"/>
      <c r="I368" s="5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x14ac:dyDescent="0.2">
      <c r="A369" s="2"/>
      <c r="B369" s="2"/>
      <c r="C369" s="2"/>
      <c r="D369" s="52"/>
      <c r="E369" s="52"/>
      <c r="F369" s="52"/>
      <c r="G369" s="52"/>
      <c r="H369" s="52"/>
      <c r="I369" s="5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x14ac:dyDescent="0.2">
      <c r="A370" s="2"/>
      <c r="B370" s="2"/>
      <c r="C370" s="2"/>
      <c r="D370" s="52"/>
      <c r="E370" s="52"/>
      <c r="F370" s="52"/>
      <c r="G370" s="52"/>
      <c r="H370" s="52"/>
      <c r="I370" s="5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x14ac:dyDescent="0.2">
      <c r="A371" s="2"/>
      <c r="B371" s="2"/>
      <c r="C371" s="2"/>
      <c r="D371" s="52"/>
      <c r="E371" s="52"/>
      <c r="F371" s="52"/>
      <c r="G371" s="52"/>
      <c r="H371" s="52"/>
      <c r="I371" s="5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x14ac:dyDescent="0.2">
      <c r="A372" s="2"/>
      <c r="B372" s="2"/>
      <c r="C372" s="2"/>
      <c r="D372" s="52"/>
      <c r="E372" s="52"/>
      <c r="F372" s="52"/>
      <c r="G372" s="52"/>
      <c r="H372" s="52"/>
      <c r="I372" s="5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x14ac:dyDescent="0.2">
      <c r="A373" s="2"/>
      <c r="B373" s="2"/>
      <c r="C373" s="2"/>
      <c r="D373" s="52"/>
      <c r="E373" s="52"/>
      <c r="F373" s="52"/>
      <c r="G373" s="52"/>
      <c r="H373" s="52"/>
      <c r="I373" s="5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x14ac:dyDescent="0.2">
      <c r="A374" s="2"/>
      <c r="B374" s="2"/>
      <c r="C374" s="2"/>
      <c r="D374" s="52"/>
      <c r="E374" s="52"/>
      <c r="F374" s="52"/>
      <c r="G374" s="52"/>
      <c r="H374" s="52"/>
      <c r="I374" s="5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x14ac:dyDescent="0.2">
      <c r="A375" s="2"/>
      <c r="B375" s="2"/>
      <c r="C375" s="2"/>
      <c r="D375" s="52"/>
      <c r="E375" s="52"/>
      <c r="F375" s="52"/>
      <c r="G375" s="52"/>
      <c r="H375" s="52"/>
      <c r="I375" s="5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x14ac:dyDescent="0.2">
      <c r="A376" s="2"/>
      <c r="B376" s="2"/>
      <c r="C376" s="2"/>
      <c r="D376" s="52"/>
      <c r="E376" s="52"/>
      <c r="F376" s="52"/>
      <c r="G376" s="52"/>
      <c r="H376" s="52"/>
      <c r="I376" s="5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x14ac:dyDescent="0.2">
      <c r="A377" s="2"/>
      <c r="B377" s="2"/>
      <c r="C377" s="2"/>
      <c r="D377" s="52"/>
      <c r="E377" s="52"/>
      <c r="F377" s="52"/>
      <c r="G377" s="52"/>
      <c r="H377" s="52"/>
      <c r="I377" s="5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x14ac:dyDescent="0.2">
      <c r="A378" s="2"/>
      <c r="B378" s="2"/>
      <c r="C378" s="2"/>
      <c r="D378" s="52"/>
      <c r="E378" s="52"/>
      <c r="F378" s="52"/>
      <c r="G378" s="52"/>
      <c r="H378" s="52"/>
      <c r="I378" s="5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x14ac:dyDescent="0.2">
      <c r="A379" s="2"/>
      <c r="B379" s="2"/>
      <c r="C379" s="2"/>
      <c r="D379" s="52"/>
      <c r="E379" s="52"/>
      <c r="F379" s="52"/>
      <c r="G379" s="52"/>
      <c r="H379" s="52"/>
      <c r="I379" s="5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x14ac:dyDescent="0.2">
      <c r="A380" s="2"/>
      <c r="B380" s="2"/>
      <c r="C380" s="2"/>
      <c r="D380" s="52"/>
      <c r="E380" s="52"/>
      <c r="F380" s="52"/>
      <c r="G380" s="52"/>
      <c r="H380" s="52"/>
      <c r="I380" s="5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x14ac:dyDescent="0.2">
      <c r="A381" s="2"/>
      <c r="B381" s="2"/>
      <c r="C381" s="2"/>
      <c r="D381" s="52"/>
      <c r="E381" s="52"/>
      <c r="F381" s="52"/>
      <c r="G381" s="52"/>
      <c r="H381" s="52"/>
      <c r="I381" s="5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x14ac:dyDescent="0.2">
      <c r="A382" s="2"/>
      <c r="B382" s="2"/>
      <c r="C382" s="2"/>
      <c r="D382" s="52"/>
      <c r="E382" s="52"/>
      <c r="F382" s="52"/>
      <c r="G382" s="52"/>
      <c r="H382" s="52"/>
      <c r="I382" s="5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x14ac:dyDescent="0.2">
      <c r="A383" s="2"/>
      <c r="B383" s="2"/>
      <c r="C383" s="2"/>
      <c r="D383" s="52"/>
      <c r="E383" s="52"/>
      <c r="F383" s="52"/>
      <c r="G383" s="52"/>
      <c r="H383" s="52"/>
      <c r="I383" s="5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x14ac:dyDescent="0.2">
      <c r="A384" s="2"/>
      <c r="B384" s="2"/>
      <c r="C384" s="2"/>
      <c r="D384" s="52"/>
      <c r="E384" s="52"/>
      <c r="F384" s="52"/>
      <c r="G384" s="52"/>
      <c r="H384" s="52"/>
      <c r="I384" s="5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x14ac:dyDescent="0.2">
      <c r="A385" s="2"/>
      <c r="B385" s="2"/>
      <c r="C385" s="2"/>
      <c r="D385" s="52"/>
      <c r="E385" s="52"/>
      <c r="F385" s="52"/>
      <c r="G385" s="52"/>
      <c r="H385" s="52"/>
      <c r="I385" s="5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x14ac:dyDescent="0.2">
      <c r="A386" s="2"/>
      <c r="B386" s="2"/>
      <c r="C386" s="2"/>
      <c r="D386" s="52"/>
      <c r="E386" s="52"/>
      <c r="F386" s="52"/>
      <c r="G386" s="52"/>
      <c r="H386" s="52"/>
      <c r="I386" s="5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x14ac:dyDescent="0.2">
      <c r="A387" s="2"/>
      <c r="B387" s="2"/>
      <c r="C387" s="2"/>
      <c r="D387" s="52"/>
      <c r="E387" s="52"/>
      <c r="F387" s="52"/>
      <c r="G387" s="52"/>
      <c r="H387" s="52"/>
      <c r="I387" s="5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x14ac:dyDescent="0.2">
      <c r="A388" s="2"/>
      <c r="B388" s="2"/>
      <c r="C388" s="2"/>
      <c r="D388" s="52"/>
      <c r="E388" s="52"/>
      <c r="F388" s="52"/>
      <c r="G388" s="52"/>
      <c r="H388" s="52"/>
      <c r="I388" s="5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x14ac:dyDescent="0.2">
      <c r="A389" s="2"/>
      <c r="B389" s="2"/>
      <c r="C389" s="2"/>
      <c r="D389" s="52"/>
      <c r="E389" s="52"/>
      <c r="F389" s="52"/>
      <c r="G389" s="52"/>
      <c r="H389" s="52"/>
      <c r="I389" s="5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x14ac:dyDescent="0.2">
      <c r="A390" s="2"/>
      <c r="B390" s="2"/>
      <c r="C390" s="2"/>
      <c r="D390" s="52"/>
      <c r="E390" s="52"/>
      <c r="F390" s="52"/>
      <c r="G390" s="52"/>
      <c r="H390" s="52"/>
      <c r="I390" s="5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x14ac:dyDescent="0.2">
      <c r="A391" s="2"/>
      <c r="B391" s="2"/>
      <c r="C391" s="2"/>
      <c r="D391" s="52"/>
      <c r="E391" s="52"/>
      <c r="F391" s="52"/>
      <c r="G391" s="52"/>
      <c r="H391" s="52"/>
      <c r="I391" s="5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x14ac:dyDescent="0.2">
      <c r="A392" s="2"/>
      <c r="B392" s="2"/>
      <c r="C392" s="2"/>
      <c r="D392" s="52"/>
      <c r="E392" s="52"/>
      <c r="F392" s="52"/>
      <c r="G392" s="52"/>
      <c r="H392" s="52"/>
      <c r="I392" s="5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x14ac:dyDescent="0.2">
      <c r="A393" s="2"/>
      <c r="B393" s="2"/>
      <c r="C393" s="2"/>
      <c r="D393" s="52"/>
      <c r="E393" s="52"/>
      <c r="F393" s="52"/>
      <c r="G393" s="52"/>
      <c r="H393" s="52"/>
      <c r="I393" s="5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x14ac:dyDescent="0.2">
      <c r="A394" s="2"/>
      <c r="B394" s="2"/>
      <c r="C394" s="2"/>
      <c r="D394" s="52"/>
      <c r="E394" s="52"/>
      <c r="F394" s="52"/>
      <c r="G394" s="52"/>
      <c r="H394" s="52"/>
      <c r="I394" s="5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x14ac:dyDescent="0.2">
      <c r="A395" s="2"/>
      <c r="B395" s="2"/>
      <c r="C395" s="2"/>
      <c r="D395" s="52"/>
      <c r="E395" s="52"/>
      <c r="F395" s="52"/>
      <c r="G395" s="52"/>
      <c r="H395" s="52"/>
      <c r="I395" s="5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x14ac:dyDescent="0.2">
      <c r="A396" s="2"/>
      <c r="B396" s="2"/>
      <c r="C396" s="2"/>
      <c r="D396" s="52"/>
      <c r="E396" s="52"/>
      <c r="F396" s="52"/>
      <c r="G396" s="52"/>
      <c r="H396" s="52"/>
      <c r="I396" s="5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x14ac:dyDescent="0.2">
      <c r="A397" s="2"/>
      <c r="B397" s="2"/>
      <c r="C397" s="2"/>
      <c r="D397" s="52"/>
      <c r="E397" s="52"/>
      <c r="F397" s="52"/>
      <c r="G397" s="52"/>
      <c r="H397" s="52"/>
      <c r="I397" s="5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x14ac:dyDescent="0.2">
      <c r="A398" s="2"/>
      <c r="B398" s="2"/>
      <c r="C398" s="2"/>
      <c r="D398" s="52"/>
      <c r="E398" s="52"/>
      <c r="F398" s="52"/>
      <c r="G398" s="52"/>
      <c r="H398" s="52"/>
      <c r="I398" s="5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x14ac:dyDescent="0.2">
      <c r="A399" s="2"/>
      <c r="B399" s="2"/>
      <c r="C399" s="2"/>
      <c r="D399" s="52"/>
      <c r="E399" s="52"/>
      <c r="F399" s="52"/>
      <c r="G399" s="52"/>
      <c r="H399" s="52"/>
      <c r="I399" s="5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x14ac:dyDescent="0.2">
      <c r="A400" s="2"/>
      <c r="B400" s="2"/>
      <c r="C400" s="2"/>
      <c r="D400" s="52"/>
      <c r="E400" s="52"/>
      <c r="F400" s="52"/>
      <c r="G400" s="52"/>
      <c r="H400" s="52"/>
      <c r="I400" s="5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x14ac:dyDescent="0.2">
      <c r="A401" s="2"/>
      <c r="B401" s="2"/>
      <c r="C401" s="2"/>
      <c r="D401" s="52"/>
      <c r="E401" s="52"/>
      <c r="F401" s="52"/>
      <c r="G401" s="52"/>
      <c r="H401" s="52"/>
      <c r="I401" s="5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x14ac:dyDescent="0.2">
      <c r="A402" s="2"/>
      <c r="B402" s="2"/>
      <c r="C402" s="2"/>
      <c r="D402" s="52"/>
      <c r="E402" s="52"/>
      <c r="F402" s="52"/>
      <c r="G402" s="52"/>
      <c r="H402" s="52"/>
      <c r="I402" s="5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x14ac:dyDescent="0.2">
      <c r="A403" s="2"/>
      <c r="B403" s="2"/>
      <c r="C403" s="2"/>
      <c r="D403" s="52"/>
      <c r="E403" s="52"/>
      <c r="F403" s="52"/>
      <c r="G403" s="52"/>
      <c r="H403" s="52"/>
      <c r="I403" s="5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x14ac:dyDescent="0.2">
      <c r="A404" s="2"/>
      <c r="B404" s="2"/>
      <c r="C404" s="2"/>
      <c r="D404" s="52"/>
      <c r="E404" s="52"/>
      <c r="F404" s="52"/>
      <c r="G404" s="52"/>
      <c r="H404" s="52"/>
      <c r="I404" s="5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x14ac:dyDescent="0.2">
      <c r="A405" s="2"/>
      <c r="B405" s="2"/>
      <c r="C405" s="2"/>
      <c r="D405" s="52"/>
      <c r="E405" s="52"/>
      <c r="F405" s="52"/>
      <c r="G405" s="52"/>
      <c r="H405" s="52"/>
      <c r="I405" s="5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x14ac:dyDescent="0.2">
      <c r="A406" s="2"/>
      <c r="B406" s="2"/>
      <c r="C406" s="2"/>
      <c r="D406" s="52"/>
      <c r="E406" s="52"/>
      <c r="F406" s="52"/>
      <c r="G406" s="52"/>
      <c r="H406" s="52"/>
      <c r="I406" s="5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x14ac:dyDescent="0.2">
      <c r="A407" s="2"/>
      <c r="B407" s="2"/>
      <c r="C407" s="2"/>
      <c r="D407" s="52"/>
      <c r="E407" s="52"/>
      <c r="F407" s="52"/>
      <c r="G407" s="52"/>
      <c r="H407" s="52"/>
      <c r="I407" s="5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x14ac:dyDescent="0.2">
      <c r="A408" s="2"/>
      <c r="B408" s="2"/>
      <c r="C408" s="2"/>
      <c r="D408" s="52"/>
      <c r="E408" s="52"/>
      <c r="F408" s="52"/>
      <c r="G408" s="52"/>
      <c r="H408" s="52"/>
      <c r="I408" s="5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x14ac:dyDescent="0.2">
      <c r="A409" s="2"/>
      <c r="B409" s="2"/>
      <c r="C409" s="2"/>
      <c r="D409" s="52"/>
      <c r="E409" s="52"/>
      <c r="F409" s="52"/>
      <c r="G409" s="52"/>
      <c r="H409" s="52"/>
      <c r="I409" s="5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x14ac:dyDescent="0.2">
      <c r="A410" s="2"/>
      <c r="B410" s="2"/>
      <c r="C410" s="2"/>
      <c r="D410" s="52"/>
      <c r="E410" s="52"/>
      <c r="F410" s="52"/>
      <c r="G410" s="52"/>
      <c r="H410" s="52"/>
      <c r="I410" s="5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x14ac:dyDescent="0.2">
      <c r="A411" s="2"/>
      <c r="B411" s="2"/>
      <c r="C411" s="2"/>
      <c r="D411" s="52"/>
      <c r="E411" s="52"/>
      <c r="F411" s="52"/>
      <c r="G411" s="52"/>
      <c r="H411" s="52"/>
      <c r="I411" s="5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x14ac:dyDescent="0.2">
      <c r="A412" s="2"/>
      <c r="B412" s="2"/>
      <c r="C412" s="2"/>
      <c r="D412" s="52"/>
      <c r="E412" s="52"/>
      <c r="F412" s="52"/>
      <c r="G412" s="52"/>
      <c r="H412" s="52"/>
      <c r="I412" s="5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x14ac:dyDescent="0.2">
      <c r="A413" s="2"/>
      <c r="B413" s="2"/>
      <c r="C413" s="2"/>
      <c r="D413" s="52"/>
      <c r="E413" s="52"/>
      <c r="F413" s="52"/>
      <c r="G413" s="52"/>
      <c r="H413" s="52"/>
      <c r="I413" s="5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x14ac:dyDescent="0.2">
      <c r="A414" s="2"/>
      <c r="B414" s="2"/>
      <c r="C414" s="2"/>
      <c r="D414" s="52"/>
      <c r="E414" s="52"/>
      <c r="F414" s="52"/>
      <c r="G414" s="52"/>
      <c r="H414" s="52"/>
      <c r="I414" s="5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x14ac:dyDescent="0.2">
      <c r="A415" s="2"/>
      <c r="B415" s="2"/>
      <c r="C415" s="2"/>
      <c r="D415" s="52"/>
      <c r="E415" s="52"/>
      <c r="F415" s="52"/>
      <c r="G415" s="52"/>
      <c r="H415" s="52"/>
      <c r="I415" s="5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x14ac:dyDescent="0.2">
      <c r="A416" s="2"/>
      <c r="B416" s="2"/>
      <c r="C416" s="2"/>
      <c r="D416" s="52"/>
      <c r="E416" s="52"/>
      <c r="F416" s="52"/>
      <c r="G416" s="52"/>
      <c r="H416" s="52"/>
      <c r="I416" s="5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x14ac:dyDescent="0.2">
      <c r="A417" s="2"/>
      <c r="B417" s="2"/>
      <c r="C417" s="2"/>
      <c r="D417" s="52"/>
      <c r="E417" s="52"/>
      <c r="F417" s="52"/>
      <c r="G417" s="52"/>
      <c r="H417" s="52"/>
      <c r="I417" s="5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x14ac:dyDescent="0.2">
      <c r="A418" s="2"/>
      <c r="B418" s="2"/>
      <c r="C418" s="2"/>
      <c r="D418" s="52"/>
      <c r="E418" s="52"/>
      <c r="F418" s="52"/>
      <c r="G418" s="52"/>
      <c r="H418" s="52"/>
      <c r="I418" s="5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x14ac:dyDescent="0.2">
      <c r="A419" s="2"/>
      <c r="B419" s="2"/>
      <c r="C419" s="2"/>
      <c r="D419" s="52"/>
      <c r="E419" s="52"/>
      <c r="F419" s="52"/>
      <c r="G419" s="52"/>
      <c r="H419" s="52"/>
      <c r="I419" s="5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x14ac:dyDescent="0.2">
      <c r="A420" s="2"/>
      <c r="B420" s="2"/>
      <c r="C420" s="2"/>
      <c r="D420" s="52"/>
      <c r="E420" s="52"/>
      <c r="F420" s="52"/>
      <c r="G420" s="52"/>
      <c r="H420" s="52"/>
      <c r="I420" s="5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x14ac:dyDescent="0.2">
      <c r="A421" s="2"/>
      <c r="B421" s="2"/>
      <c r="C421" s="2"/>
      <c r="D421" s="52"/>
      <c r="E421" s="52"/>
      <c r="F421" s="52"/>
      <c r="G421" s="52"/>
      <c r="H421" s="52"/>
      <c r="I421" s="5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x14ac:dyDescent="0.2">
      <c r="A422" s="2"/>
      <c r="B422" s="2"/>
      <c r="C422" s="2"/>
      <c r="D422" s="52"/>
      <c r="E422" s="52"/>
      <c r="F422" s="52"/>
      <c r="G422" s="52"/>
      <c r="H422" s="52"/>
      <c r="I422" s="5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x14ac:dyDescent="0.2">
      <c r="A423" s="2"/>
      <c r="B423" s="2"/>
      <c r="C423" s="2"/>
      <c r="D423" s="52"/>
      <c r="E423" s="52"/>
      <c r="F423" s="52"/>
      <c r="G423" s="52"/>
      <c r="H423" s="52"/>
      <c r="I423" s="5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x14ac:dyDescent="0.2">
      <c r="A424" s="2"/>
      <c r="B424" s="2"/>
      <c r="C424" s="2"/>
      <c r="D424" s="52"/>
      <c r="E424" s="52"/>
      <c r="F424" s="52"/>
      <c r="G424" s="52"/>
      <c r="H424" s="52"/>
      <c r="I424" s="5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x14ac:dyDescent="0.2">
      <c r="A425" s="2"/>
      <c r="B425" s="2"/>
      <c r="C425" s="2"/>
      <c r="D425" s="52"/>
      <c r="E425" s="52"/>
      <c r="F425" s="52"/>
      <c r="G425" s="52"/>
      <c r="H425" s="52"/>
      <c r="I425" s="5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x14ac:dyDescent="0.2">
      <c r="A426" s="2"/>
      <c r="B426" s="2"/>
      <c r="C426" s="2"/>
      <c r="D426" s="52"/>
      <c r="E426" s="52"/>
      <c r="F426" s="52"/>
      <c r="G426" s="52"/>
      <c r="H426" s="52"/>
      <c r="I426" s="5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x14ac:dyDescent="0.2">
      <c r="A427" s="2"/>
      <c r="B427" s="2"/>
      <c r="C427" s="2"/>
      <c r="D427" s="52"/>
      <c r="E427" s="52"/>
      <c r="F427" s="52"/>
      <c r="G427" s="52"/>
      <c r="H427" s="52"/>
      <c r="I427" s="5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x14ac:dyDescent="0.2">
      <c r="A428" s="2"/>
      <c r="B428" s="2"/>
      <c r="C428" s="2"/>
      <c r="D428" s="52"/>
      <c r="E428" s="52"/>
      <c r="F428" s="52"/>
      <c r="G428" s="52"/>
      <c r="H428" s="52"/>
      <c r="I428" s="5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x14ac:dyDescent="0.2">
      <c r="A429" s="2"/>
      <c r="B429" s="2"/>
      <c r="C429" s="2"/>
      <c r="D429" s="52"/>
      <c r="E429" s="52"/>
      <c r="F429" s="52"/>
      <c r="G429" s="52"/>
      <c r="H429" s="52"/>
      <c r="I429" s="5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x14ac:dyDescent="0.2">
      <c r="A430" s="2"/>
      <c r="B430" s="2"/>
      <c r="C430" s="2"/>
      <c r="D430" s="52"/>
      <c r="E430" s="52"/>
      <c r="F430" s="52"/>
      <c r="G430" s="52"/>
      <c r="H430" s="52"/>
      <c r="I430" s="5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x14ac:dyDescent="0.2">
      <c r="A431" s="2"/>
      <c r="B431" s="2"/>
      <c r="C431" s="2"/>
      <c r="D431" s="52"/>
      <c r="E431" s="52"/>
      <c r="F431" s="52"/>
      <c r="G431" s="52"/>
      <c r="H431" s="52"/>
      <c r="I431" s="5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x14ac:dyDescent="0.2">
      <c r="A432" s="2"/>
      <c r="B432" s="2"/>
      <c r="C432" s="2"/>
      <c r="D432" s="52"/>
      <c r="E432" s="52"/>
      <c r="F432" s="52"/>
      <c r="G432" s="52"/>
      <c r="H432" s="52"/>
      <c r="I432" s="5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x14ac:dyDescent="0.2">
      <c r="A433" s="2"/>
      <c r="B433" s="2"/>
      <c r="C433" s="2"/>
      <c r="D433" s="52"/>
      <c r="E433" s="52"/>
      <c r="F433" s="52"/>
      <c r="G433" s="52"/>
      <c r="H433" s="52"/>
      <c r="I433" s="5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x14ac:dyDescent="0.2">
      <c r="A434" s="2"/>
      <c r="B434" s="2"/>
      <c r="C434" s="2"/>
      <c r="D434" s="52"/>
      <c r="E434" s="52"/>
      <c r="F434" s="52"/>
      <c r="G434" s="52"/>
      <c r="H434" s="52"/>
      <c r="I434" s="5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x14ac:dyDescent="0.2">
      <c r="A435" s="2"/>
      <c r="B435" s="2"/>
      <c r="C435" s="2"/>
      <c r="D435" s="52"/>
      <c r="E435" s="52"/>
      <c r="F435" s="52"/>
      <c r="G435" s="52"/>
      <c r="H435" s="52"/>
      <c r="I435" s="5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x14ac:dyDescent="0.2">
      <c r="A436" s="2"/>
      <c r="B436" s="2"/>
      <c r="C436" s="2"/>
      <c r="D436" s="52"/>
      <c r="E436" s="52"/>
      <c r="F436" s="52"/>
      <c r="G436" s="52"/>
      <c r="H436" s="52"/>
      <c r="I436" s="5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x14ac:dyDescent="0.2">
      <c r="A437" s="2"/>
      <c r="B437" s="2"/>
      <c r="C437" s="2"/>
      <c r="D437" s="52"/>
      <c r="E437" s="52"/>
      <c r="F437" s="52"/>
      <c r="G437" s="52"/>
      <c r="H437" s="52"/>
      <c r="I437" s="5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x14ac:dyDescent="0.2">
      <c r="A438" s="2"/>
      <c r="B438" s="2"/>
      <c r="C438" s="2"/>
      <c r="D438" s="52"/>
      <c r="E438" s="52"/>
      <c r="F438" s="52"/>
      <c r="G438" s="52"/>
      <c r="H438" s="52"/>
      <c r="I438" s="5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x14ac:dyDescent="0.2">
      <c r="A439" s="2"/>
      <c r="B439" s="2"/>
      <c r="C439" s="2"/>
      <c r="D439" s="52"/>
      <c r="E439" s="52"/>
      <c r="F439" s="52"/>
      <c r="G439" s="52"/>
      <c r="H439" s="52"/>
      <c r="I439" s="5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x14ac:dyDescent="0.2">
      <c r="A440" s="2"/>
      <c r="B440" s="2"/>
      <c r="C440" s="2"/>
      <c r="D440" s="52"/>
      <c r="E440" s="52"/>
      <c r="F440" s="52"/>
      <c r="G440" s="52"/>
      <c r="H440" s="52"/>
      <c r="I440" s="5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x14ac:dyDescent="0.2">
      <c r="A441" s="2"/>
      <c r="B441" s="2"/>
      <c r="C441" s="2"/>
      <c r="D441" s="52"/>
      <c r="E441" s="52"/>
      <c r="F441" s="52"/>
      <c r="G441" s="52"/>
      <c r="H441" s="52"/>
      <c r="I441" s="5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x14ac:dyDescent="0.2">
      <c r="A442" s="2"/>
      <c r="B442" s="2"/>
      <c r="C442" s="2"/>
      <c r="D442" s="52"/>
      <c r="E442" s="52"/>
      <c r="F442" s="52"/>
      <c r="G442" s="52"/>
      <c r="H442" s="52"/>
      <c r="I442" s="5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x14ac:dyDescent="0.2">
      <c r="A443" s="2"/>
      <c r="B443" s="2"/>
      <c r="C443" s="2"/>
      <c r="D443" s="52"/>
      <c r="E443" s="52"/>
      <c r="F443" s="52"/>
      <c r="G443" s="52"/>
      <c r="H443" s="52"/>
      <c r="I443" s="5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x14ac:dyDescent="0.2">
      <c r="A444" s="2"/>
      <c r="B444" s="2"/>
      <c r="C444" s="2"/>
      <c r="D444" s="52"/>
      <c r="E444" s="52"/>
      <c r="F444" s="52"/>
      <c r="G444" s="52"/>
      <c r="H444" s="52"/>
      <c r="I444" s="5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x14ac:dyDescent="0.2">
      <c r="A445" s="2"/>
      <c r="B445" s="2"/>
      <c r="C445" s="2"/>
      <c r="D445" s="52"/>
      <c r="E445" s="52"/>
      <c r="F445" s="52"/>
      <c r="G445" s="52"/>
      <c r="H445" s="52"/>
      <c r="I445" s="5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x14ac:dyDescent="0.2">
      <c r="A446" s="2"/>
      <c r="B446" s="2"/>
      <c r="C446" s="2"/>
      <c r="D446" s="52"/>
      <c r="E446" s="52"/>
      <c r="F446" s="52"/>
      <c r="G446" s="52"/>
      <c r="H446" s="52"/>
      <c r="I446" s="5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x14ac:dyDescent="0.2">
      <c r="A447" s="2"/>
      <c r="B447" s="2"/>
      <c r="C447" s="2"/>
      <c r="D447" s="52"/>
      <c r="E447" s="52"/>
      <c r="F447" s="52"/>
      <c r="G447" s="52"/>
      <c r="H447" s="52"/>
      <c r="I447" s="5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x14ac:dyDescent="0.2">
      <c r="A448" s="2"/>
      <c r="B448" s="2"/>
      <c r="C448" s="2"/>
      <c r="D448" s="52"/>
      <c r="E448" s="52"/>
      <c r="F448" s="52"/>
      <c r="G448" s="52"/>
      <c r="H448" s="52"/>
      <c r="I448" s="5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x14ac:dyDescent="0.2">
      <c r="A449" s="2"/>
      <c r="B449" s="2"/>
      <c r="C449" s="2"/>
      <c r="D449" s="52"/>
      <c r="E449" s="52"/>
      <c r="F449" s="52"/>
      <c r="G449" s="52"/>
      <c r="H449" s="52"/>
      <c r="I449" s="5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x14ac:dyDescent="0.2">
      <c r="A450" s="2"/>
      <c r="B450" s="2"/>
      <c r="C450" s="2"/>
      <c r="D450" s="52"/>
      <c r="E450" s="52"/>
      <c r="F450" s="52"/>
      <c r="G450" s="52"/>
      <c r="H450" s="52"/>
      <c r="I450" s="5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x14ac:dyDescent="0.2">
      <c r="A451" s="2"/>
      <c r="B451" s="2"/>
      <c r="C451" s="2"/>
      <c r="D451" s="52"/>
      <c r="E451" s="52"/>
      <c r="F451" s="52"/>
      <c r="G451" s="52"/>
      <c r="H451" s="52"/>
      <c r="I451" s="5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x14ac:dyDescent="0.2">
      <c r="A452" s="2"/>
      <c r="B452" s="2"/>
      <c r="C452" s="2"/>
      <c r="D452" s="52"/>
      <c r="E452" s="52"/>
      <c r="F452" s="52"/>
      <c r="G452" s="52"/>
      <c r="H452" s="52"/>
      <c r="I452" s="5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x14ac:dyDescent="0.2">
      <c r="A453" s="2"/>
      <c r="B453" s="2"/>
      <c r="C453" s="2"/>
      <c r="D453" s="52"/>
      <c r="E453" s="52"/>
      <c r="F453" s="52"/>
      <c r="G453" s="52"/>
      <c r="H453" s="52"/>
      <c r="I453" s="5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x14ac:dyDescent="0.2">
      <c r="A454" s="2"/>
      <c r="B454" s="2"/>
      <c r="C454" s="2"/>
      <c r="D454" s="52"/>
      <c r="E454" s="52"/>
      <c r="F454" s="52"/>
      <c r="G454" s="52"/>
      <c r="H454" s="52"/>
      <c r="I454" s="5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x14ac:dyDescent="0.2">
      <c r="A455" s="2"/>
      <c r="B455" s="2"/>
      <c r="C455" s="2"/>
      <c r="D455" s="52"/>
      <c r="E455" s="52"/>
      <c r="F455" s="52"/>
      <c r="G455" s="52"/>
      <c r="H455" s="52"/>
      <c r="I455" s="5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x14ac:dyDescent="0.2">
      <c r="A456" s="2"/>
      <c r="B456" s="2"/>
      <c r="C456" s="2"/>
      <c r="D456" s="52"/>
      <c r="E456" s="52"/>
      <c r="F456" s="52"/>
      <c r="G456" s="52"/>
      <c r="H456" s="52"/>
      <c r="I456" s="5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x14ac:dyDescent="0.2">
      <c r="A457" s="2"/>
      <c r="B457" s="2"/>
      <c r="C457" s="2"/>
      <c r="D457" s="52"/>
      <c r="E457" s="52"/>
      <c r="F457" s="52"/>
      <c r="G457" s="52"/>
      <c r="H457" s="52"/>
      <c r="I457" s="5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x14ac:dyDescent="0.2">
      <c r="A458" s="2"/>
      <c r="B458" s="2"/>
      <c r="C458" s="2"/>
      <c r="D458" s="52"/>
      <c r="E458" s="52"/>
      <c r="F458" s="52"/>
      <c r="G458" s="52"/>
      <c r="H458" s="52"/>
      <c r="I458" s="5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x14ac:dyDescent="0.2">
      <c r="A459" s="2"/>
      <c r="B459" s="2"/>
      <c r="C459" s="2"/>
      <c r="D459" s="52"/>
      <c r="E459" s="52"/>
      <c r="F459" s="52"/>
      <c r="G459" s="52"/>
      <c r="H459" s="52"/>
      <c r="I459" s="5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x14ac:dyDescent="0.2">
      <c r="A460" s="2"/>
      <c r="B460" s="2"/>
      <c r="C460" s="2"/>
      <c r="D460" s="52"/>
      <c r="E460" s="52"/>
      <c r="F460" s="52"/>
      <c r="G460" s="52"/>
      <c r="H460" s="52"/>
      <c r="I460" s="5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x14ac:dyDescent="0.2">
      <c r="A461" s="2"/>
      <c r="B461" s="2"/>
      <c r="C461" s="2"/>
      <c r="D461" s="52"/>
      <c r="E461" s="52"/>
      <c r="F461" s="52"/>
      <c r="G461" s="52"/>
      <c r="H461" s="52"/>
      <c r="I461" s="5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x14ac:dyDescent="0.2">
      <c r="A462" s="2"/>
      <c r="B462" s="2"/>
      <c r="C462" s="2"/>
      <c r="D462" s="52"/>
      <c r="E462" s="52"/>
      <c r="F462" s="52"/>
      <c r="G462" s="52"/>
      <c r="H462" s="52"/>
      <c r="I462" s="5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x14ac:dyDescent="0.2">
      <c r="A463" s="2"/>
      <c r="B463" s="2"/>
      <c r="C463" s="2"/>
      <c r="D463" s="52"/>
      <c r="E463" s="52"/>
      <c r="F463" s="52"/>
      <c r="G463" s="52"/>
      <c r="H463" s="52"/>
      <c r="I463" s="5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x14ac:dyDescent="0.2">
      <c r="A464" s="2"/>
      <c r="B464" s="2"/>
      <c r="C464" s="2"/>
      <c r="D464" s="52"/>
      <c r="E464" s="52"/>
      <c r="F464" s="52"/>
      <c r="G464" s="52"/>
      <c r="H464" s="52"/>
      <c r="I464" s="5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x14ac:dyDescent="0.2">
      <c r="A465" s="2"/>
      <c r="B465" s="2"/>
      <c r="C465" s="2"/>
      <c r="D465" s="52"/>
      <c r="E465" s="52"/>
      <c r="F465" s="52"/>
      <c r="G465" s="52"/>
      <c r="H465" s="52"/>
      <c r="I465" s="5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x14ac:dyDescent="0.2">
      <c r="A466" s="2"/>
      <c r="B466" s="2"/>
      <c r="C466" s="2"/>
      <c r="D466" s="52"/>
      <c r="E466" s="52"/>
      <c r="F466" s="52"/>
      <c r="G466" s="52"/>
      <c r="H466" s="52"/>
      <c r="I466" s="5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x14ac:dyDescent="0.2">
      <c r="A467" s="2"/>
      <c r="B467" s="2"/>
      <c r="C467" s="2"/>
      <c r="D467" s="52"/>
      <c r="E467" s="52"/>
      <c r="F467" s="52"/>
      <c r="G467" s="52"/>
      <c r="H467" s="52"/>
      <c r="I467" s="5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x14ac:dyDescent="0.2">
      <c r="A468" s="2"/>
      <c r="B468" s="2"/>
      <c r="C468" s="2"/>
      <c r="D468" s="52"/>
      <c r="E468" s="52"/>
      <c r="F468" s="52"/>
      <c r="G468" s="52"/>
      <c r="H468" s="52"/>
      <c r="I468" s="5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x14ac:dyDescent="0.2">
      <c r="A469" s="2"/>
      <c r="B469" s="2"/>
      <c r="C469" s="2"/>
      <c r="D469" s="52"/>
      <c r="E469" s="52"/>
      <c r="F469" s="52"/>
      <c r="G469" s="52"/>
      <c r="H469" s="52"/>
      <c r="I469" s="5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x14ac:dyDescent="0.2">
      <c r="A470" s="2"/>
      <c r="B470" s="2"/>
      <c r="C470" s="2"/>
      <c r="D470" s="52"/>
      <c r="E470" s="52"/>
      <c r="F470" s="52"/>
      <c r="G470" s="52"/>
      <c r="H470" s="52"/>
      <c r="I470" s="5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x14ac:dyDescent="0.2">
      <c r="A471" s="2"/>
      <c r="B471" s="2"/>
      <c r="C471" s="2"/>
      <c r="D471" s="52"/>
      <c r="E471" s="52"/>
      <c r="F471" s="52"/>
      <c r="G471" s="52"/>
      <c r="H471" s="52"/>
      <c r="I471" s="5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x14ac:dyDescent="0.2">
      <c r="A472" s="2"/>
      <c r="B472" s="2"/>
      <c r="C472" s="2"/>
      <c r="D472" s="52"/>
      <c r="E472" s="52"/>
      <c r="F472" s="52"/>
      <c r="G472" s="52"/>
      <c r="H472" s="52"/>
      <c r="I472" s="5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x14ac:dyDescent="0.2">
      <c r="A473" s="2"/>
      <c r="B473" s="2"/>
      <c r="C473" s="2"/>
      <c r="D473" s="52"/>
      <c r="E473" s="52"/>
      <c r="F473" s="52"/>
      <c r="G473" s="52"/>
      <c r="H473" s="52"/>
      <c r="I473" s="5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x14ac:dyDescent="0.2">
      <c r="A474" s="2"/>
      <c r="B474" s="2"/>
      <c r="C474" s="2"/>
      <c r="D474" s="52"/>
      <c r="E474" s="52"/>
      <c r="F474" s="52"/>
      <c r="G474" s="52"/>
      <c r="H474" s="52"/>
      <c r="I474" s="5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x14ac:dyDescent="0.2">
      <c r="A475" s="2"/>
      <c r="B475" s="2"/>
      <c r="C475" s="2"/>
      <c r="D475" s="52"/>
      <c r="E475" s="52"/>
      <c r="F475" s="52"/>
      <c r="G475" s="52"/>
      <c r="H475" s="52"/>
      <c r="I475" s="5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x14ac:dyDescent="0.2">
      <c r="A476" s="2"/>
      <c r="B476" s="2"/>
      <c r="C476" s="2"/>
      <c r="D476" s="52"/>
      <c r="E476" s="52"/>
      <c r="F476" s="52"/>
      <c r="G476" s="52"/>
      <c r="H476" s="52"/>
      <c r="I476" s="5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x14ac:dyDescent="0.2">
      <c r="A477" s="2"/>
      <c r="B477" s="2"/>
      <c r="C477" s="2"/>
      <c r="D477" s="52"/>
      <c r="E477" s="52"/>
      <c r="F477" s="52"/>
      <c r="G477" s="52"/>
      <c r="H477" s="52"/>
      <c r="I477" s="5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x14ac:dyDescent="0.2">
      <c r="A478" s="2"/>
      <c r="B478" s="2"/>
      <c r="C478" s="2"/>
      <c r="D478" s="52"/>
      <c r="E478" s="52"/>
      <c r="F478" s="52"/>
      <c r="G478" s="52"/>
      <c r="H478" s="52"/>
      <c r="I478" s="5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x14ac:dyDescent="0.2">
      <c r="A479" s="2"/>
      <c r="B479" s="2"/>
      <c r="C479" s="2"/>
      <c r="D479" s="52"/>
      <c r="E479" s="52"/>
      <c r="F479" s="52"/>
      <c r="G479" s="52"/>
      <c r="H479" s="52"/>
      <c r="I479" s="5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x14ac:dyDescent="0.2">
      <c r="A480" s="2"/>
      <c r="B480" s="2"/>
      <c r="C480" s="2"/>
      <c r="D480" s="52"/>
      <c r="E480" s="52"/>
      <c r="F480" s="52"/>
      <c r="G480" s="52"/>
      <c r="H480" s="52"/>
      <c r="I480" s="5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x14ac:dyDescent="0.2">
      <c r="A481" s="2"/>
      <c r="B481" s="2"/>
      <c r="C481" s="2"/>
      <c r="D481" s="52"/>
      <c r="E481" s="52"/>
      <c r="F481" s="52"/>
      <c r="G481" s="52"/>
      <c r="H481" s="52"/>
      <c r="I481" s="5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x14ac:dyDescent="0.2">
      <c r="A482" s="2"/>
      <c r="B482" s="2"/>
      <c r="C482" s="2"/>
      <c r="D482" s="52"/>
      <c r="E482" s="52"/>
      <c r="F482" s="52"/>
      <c r="G482" s="52"/>
      <c r="H482" s="52"/>
      <c r="I482" s="5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x14ac:dyDescent="0.2">
      <c r="A483" s="2"/>
      <c r="B483" s="2"/>
      <c r="C483" s="2"/>
      <c r="D483" s="52"/>
      <c r="E483" s="52"/>
      <c r="F483" s="52"/>
      <c r="G483" s="52"/>
      <c r="H483" s="52"/>
      <c r="I483" s="5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x14ac:dyDescent="0.2">
      <c r="A484" s="2"/>
      <c r="B484" s="2"/>
      <c r="C484" s="2"/>
      <c r="D484" s="52"/>
      <c r="E484" s="52"/>
      <c r="F484" s="52"/>
      <c r="G484" s="52"/>
      <c r="H484" s="52"/>
      <c r="I484" s="5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x14ac:dyDescent="0.2">
      <c r="A485" s="2"/>
      <c r="B485" s="2"/>
      <c r="C485" s="2"/>
      <c r="D485" s="52"/>
      <c r="E485" s="52"/>
      <c r="F485" s="52"/>
      <c r="G485" s="52"/>
      <c r="H485" s="52"/>
      <c r="I485" s="5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x14ac:dyDescent="0.2">
      <c r="A486" s="2"/>
      <c r="B486" s="2"/>
      <c r="C486" s="2"/>
      <c r="D486" s="52"/>
      <c r="E486" s="52"/>
      <c r="F486" s="52"/>
      <c r="G486" s="52"/>
      <c r="H486" s="52"/>
      <c r="I486" s="5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x14ac:dyDescent="0.2">
      <c r="A487" s="2"/>
      <c r="B487" s="2"/>
      <c r="C487" s="2"/>
      <c r="D487" s="52"/>
      <c r="E487" s="52"/>
      <c r="F487" s="52"/>
      <c r="G487" s="52"/>
      <c r="H487" s="52"/>
      <c r="I487" s="5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x14ac:dyDescent="0.2">
      <c r="A488" s="2"/>
      <c r="B488" s="2"/>
      <c r="C488" s="2"/>
      <c r="D488" s="52"/>
      <c r="E488" s="52"/>
      <c r="F488" s="52"/>
      <c r="G488" s="52"/>
      <c r="H488" s="52"/>
      <c r="I488" s="5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x14ac:dyDescent="0.2">
      <c r="A489" s="2"/>
      <c r="B489" s="2"/>
      <c r="C489" s="2"/>
      <c r="D489" s="52"/>
      <c r="E489" s="52"/>
      <c r="F489" s="52"/>
      <c r="G489" s="52"/>
      <c r="H489" s="52"/>
      <c r="I489" s="5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x14ac:dyDescent="0.2">
      <c r="A490" s="2"/>
      <c r="B490" s="2"/>
      <c r="C490" s="2"/>
      <c r="D490" s="52"/>
      <c r="E490" s="52"/>
      <c r="F490" s="52"/>
      <c r="G490" s="52"/>
      <c r="H490" s="52"/>
      <c r="I490" s="5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x14ac:dyDescent="0.2">
      <c r="A491" s="2"/>
      <c r="B491" s="2"/>
      <c r="C491" s="2"/>
      <c r="D491" s="52"/>
      <c r="E491" s="52"/>
      <c r="F491" s="52"/>
      <c r="G491" s="52"/>
      <c r="H491" s="52"/>
      <c r="I491" s="5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x14ac:dyDescent="0.2">
      <c r="A492" s="2"/>
      <c r="B492" s="2"/>
      <c r="C492" s="2"/>
      <c r="D492" s="52"/>
      <c r="E492" s="52"/>
      <c r="F492" s="52"/>
      <c r="G492" s="52"/>
      <c r="H492" s="52"/>
      <c r="I492" s="5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x14ac:dyDescent="0.2">
      <c r="A493" s="2"/>
      <c r="B493" s="2"/>
      <c r="C493" s="2"/>
      <c r="D493" s="52"/>
      <c r="E493" s="52"/>
      <c r="F493" s="52"/>
      <c r="G493" s="52"/>
      <c r="H493" s="52"/>
      <c r="I493" s="5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x14ac:dyDescent="0.2">
      <c r="A494" s="2"/>
      <c r="B494" s="2"/>
      <c r="C494" s="2"/>
      <c r="D494" s="52"/>
      <c r="E494" s="52"/>
      <c r="F494" s="52"/>
      <c r="G494" s="52"/>
      <c r="H494" s="52"/>
      <c r="I494" s="5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x14ac:dyDescent="0.2">
      <c r="A495" s="2"/>
      <c r="B495" s="2"/>
      <c r="C495" s="2"/>
      <c r="D495" s="52"/>
      <c r="E495" s="52"/>
      <c r="F495" s="52"/>
      <c r="G495" s="52"/>
      <c r="H495" s="52"/>
      <c r="I495" s="5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x14ac:dyDescent="0.2">
      <c r="A496" s="2"/>
      <c r="B496" s="2"/>
      <c r="C496" s="2"/>
      <c r="D496" s="52"/>
      <c r="E496" s="52"/>
      <c r="F496" s="52"/>
      <c r="G496" s="52"/>
      <c r="H496" s="52"/>
      <c r="I496" s="5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x14ac:dyDescent="0.2">
      <c r="A497" s="2"/>
      <c r="B497" s="2"/>
      <c r="C497" s="2"/>
      <c r="D497" s="52"/>
      <c r="E497" s="52"/>
      <c r="F497" s="52"/>
      <c r="G497" s="52"/>
      <c r="H497" s="52"/>
      <c r="I497" s="5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x14ac:dyDescent="0.2">
      <c r="A498" s="2"/>
      <c r="B498" s="2"/>
      <c r="C498" s="2"/>
      <c r="D498" s="52"/>
      <c r="E498" s="52"/>
      <c r="F498" s="52"/>
      <c r="G498" s="52"/>
      <c r="H498" s="52"/>
      <c r="I498" s="5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x14ac:dyDescent="0.2">
      <c r="A499" s="2"/>
      <c r="B499" s="2"/>
      <c r="C499" s="2"/>
      <c r="D499" s="52"/>
      <c r="E499" s="52"/>
      <c r="F499" s="52"/>
      <c r="G499" s="52"/>
      <c r="H499" s="52"/>
      <c r="I499" s="5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x14ac:dyDescent="0.2">
      <c r="A500" s="2"/>
      <c r="B500" s="2"/>
      <c r="C500" s="2"/>
      <c r="D500" s="52"/>
      <c r="E500" s="52"/>
      <c r="F500" s="52"/>
      <c r="G500" s="52"/>
      <c r="H500" s="52"/>
      <c r="I500" s="5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x14ac:dyDescent="0.2">
      <c r="A501" s="2"/>
      <c r="B501" s="2"/>
      <c r="C501" s="2"/>
      <c r="D501" s="52"/>
      <c r="E501" s="52"/>
      <c r="F501" s="52"/>
      <c r="G501" s="52"/>
      <c r="H501" s="52"/>
      <c r="I501" s="5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x14ac:dyDescent="0.2">
      <c r="A502" s="2"/>
      <c r="B502" s="2"/>
      <c r="C502" s="2"/>
      <c r="D502" s="52"/>
      <c r="E502" s="52"/>
      <c r="F502" s="52"/>
      <c r="G502" s="52"/>
      <c r="H502" s="52"/>
      <c r="I502" s="5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x14ac:dyDescent="0.2">
      <c r="A503" s="2"/>
      <c r="B503" s="2"/>
      <c r="C503" s="2"/>
      <c r="D503" s="52"/>
      <c r="E503" s="52"/>
      <c r="F503" s="52"/>
      <c r="G503" s="52"/>
      <c r="H503" s="52"/>
      <c r="I503" s="5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x14ac:dyDescent="0.2">
      <c r="A504" s="2"/>
      <c r="B504" s="2"/>
      <c r="C504" s="2"/>
      <c r="D504" s="52"/>
      <c r="E504" s="52"/>
      <c r="F504" s="52"/>
      <c r="G504" s="52"/>
      <c r="H504" s="52"/>
      <c r="I504" s="5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x14ac:dyDescent="0.2">
      <c r="A505" s="2"/>
      <c r="B505" s="2"/>
      <c r="C505" s="2"/>
      <c r="D505" s="52"/>
      <c r="E505" s="52"/>
      <c r="F505" s="52"/>
      <c r="G505" s="52"/>
      <c r="H505" s="52"/>
      <c r="I505" s="5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x14ac:dyDescent="0.2">
      <c r="A506" s="2"/>
      <c r="B506" s="2"/>
      <c r="C506" s="2"/>
      <c r="D506" s="52"/>
      <c r="E506" s="52"/>
      <c r="F506" s="52"/>
      <c r="G506" s="52"/>
      <c r="H506" s="52"/>
      <c r="I506" s="5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x14ac:dyDescent="0.2">
      <c r="A507" s="2"/>
      <c r="B507" s="2"/>
      <c r="C507" s="2"/>
      <c r="D507" s="52"/>
      <c r="E507" s="52"/>
      <c r="F507" s="52"/>
      <c r="G507" s="52"/>
      <c r="H507" s="52"/>
      <c r="I507" s="5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x14ac:dyDescent="0.2">
      <c r="A508" s="2"/>
      <c r="B508" s="2"/>
      <c r="C508" s="2"/>
      <c r="D508" s="52"/>
      <c r="E508" s="52"/>
      <c r="F508" s="52"/>
      <c r="G508" s="52"/>
      <c r="H508" s="52"/>
      <c r="I508" s="5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x14ac:dyDescent="0.2">
      <c r="A509" s="2"/>
      <c r="B509" s="2"/>
      <c r="C509" s="2"/>
      <c r="D509" s="52"/>
      <c r="E509" s="52"/>
      <c r="F509" s="52"/>
      <c r="G509" s="52"/>
      <c r="H509" s="52"/>
      <c r="I509" s="5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x14ac:dyDescent="0.2">
      <c r="A510" s="2"/>
      <c r="B510" s="2"/>
      <c r="C510" s="2"/>
      <c r="D510" s="52"/>
      <c r="E510" s="52"/>
      <c r="F510" s="52"/>
      <c r="G510" s="52"/>
      <c r="H510" s="52"/>
      <c r="I510" s="5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x14ac:dyDescent="0.2">
      <c r="A511" s="2"/>
      <c r="B511" s="2"/>
      <c r="C511" s="2"/>
      <c r="D511" s="52"/>
      <c r="E511" s="52"/>
      <c r="F511" s="52"/>
      <c r="G511" s="52"/>
      <c r="H511" s="52"/>
      <c r="I511" s="5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x14ac:dyDescent="0.2">
      <c r="A512" s="2"/>
      <c r="B512" s="2"/>
      <c r="C512" s="2"/>
      <c r="D512" s="52"/>
      <c r="E512" s="52"/>
      <c r="F512" s="52"/>
      <c r="G512" s="52"/>
      <c r="H512" s="52"/>
      <c r="I512" s="5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x14ac:dyDescent="0.2">
      <c r="A513" s="2"/>
      <c r="B513" s="2"/>
      <c r="C513" s="2"/>
      <c r="D513" s="52"/>
      <c r="E513" s="52"/>
      <c r="F513" s="52"/>
      <c r="G513" s="52"/>
      <c r="H513" s="52"/>
      <c r="I513" s="5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x14ac:dyDescent="0.2">
      <c r="A514" s="2"/>
      <c r="B514" s="2"/>
      <c r="C514" s="2"/>
      <c r="D514" s="52"/>
      <c r="E514" s="52"/>
      <c r="F514" s="52"/>
      <c r="G514" s="52"/>
      <c r="H514" s="52"/>
      <c r="I514" s="5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x14ac:dyDescent="0.2">
      <c r="A515" s="2"/>
      <c r="B515" s="2"/>
      <c r="C515" s="2"/>
      <c r="D515" s="52"/>
      <c r="E515" s="52"/>
      <c r="F515" s="52"/>
      <c r="G515" s="52"/>
      <c r="H515" s="52"/>
      <c r="I515" s="5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x14ac:dyDescent="0.2">
      <c r="A516" s="2"/>
      <c r="B516" s="2"/>
      <c r="C516" s="2"/>
      <c r="D516" s="52"/>
      <c r="E516" s="52"/>
      <c r="F516" s="52"/>
      <c r="G516" s="52"/>
      <c r="H516" s="52"/>
      <c r="I516" s="5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x14ac:dyDescent="0.2">
      <c r="A517" s="2"/>
      <c r="B517" s="2"/>
      <c r="C517" s="2"/>
      <c r="D517" s="52"/>
      <c r="E517" s="52"/>
      <c r="F517" s="52"/>
      <c r="G517" s="52"/>
      <c r="H517" s="52"/>
      <c r="I517" s="5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x14ac:dyDescent="0.2">
      <c r="A518" s="2"/>
      <c r="B518" s="2"/>
      <c r="C518" s="2"/>
      <c r="D518" s="52"/>
      <c r="E518" s="52"/>
      <c r="F518" s="52"/>
      <c r="G518" s="52"/>
      <c r="H518" s="52"/>
      <c r="I518" s="5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x14ac:dyDescent="0.2">
      <c r="A519" s="2"/>
      <c r="B519" s="2"/>
      <c r="C519" s="2"/>
      <c r="D519" s="52"/>
      <c r="E519" s="52"/>
      <c r="F519" s="52"/>
      <c r="G519" s="52"/>
      <c r="H519" s="52"/>
      <c r="I519" s="5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x14ac:dyDescent="0.2">
      <c r="A520" s="2"/>
      <c r="B520" s="2"/>
      <c r="C520" s="2"/>
      <c r="D520" s="52"/>
      <c r="E520" s="52"/>
      <c r="F520" s="52"/>
      <c r="G520" s="52"/>
      <c r="H520" s="52"/>
      <c r="I520" s="5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x14ac:dyDescent="0.2">
      <c r="A521" s="2"/>
      <c r="B521" s="2"/>
      <c r="C521" s="2"/>
      <c r="D521" s="52"/>
      <c r="E521" s="52"/>
      <c r="F521" s="52"/>
      <c r="G521" s="52"/>
      <c r="H521" s="52"/>
      <c r="I521" s="5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x14ac:dyDescent="0.2">
      <c r="A522" s="2"/>
      <c r="B522" s="2"/>
      <c r="C522" s="2"/>
      <c r="D522" s="52"/>
      <c r="E522" s="52"/>
      <c r="F522" s="52"/>
      <c r="G522" s="52"/>
      <c r="H522" s="52"/>
      <c r="I522" s="5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x14ac:dyDescent="0.2">
      <c r="A523" s="2"/>
      <c r="B523" s="2"/>
      <c r="C523" s="2"/>
      <c r="D523" s="52"/>
      <c r="E523" s="52"/>
      <c r="F523" s="52"/>
      <c r="G523" s="52"/>
      <c r="H523" s="52"/>
      <c r="I523" s="5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x14ac:dyDescent="0.2">
      <c r="A524" s="2"/>
      <c r="B524" s="2"/>
      <c r="C524" s="2"/>
      <c r="D524" s="52"/>
      <c r="E524" s="52"/>
      <c r="F524" s="52"/>
      <c r="G524" s="52"/>
      <c r="H524" s="52"/>
      <c r="I524" s="5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x14ac:dyDescent="0.2">
      <c r="A525" s="2"/>
      <c r="B525" s="2"/>
      <c r="C525" s="2"/>
      <c r="D525" s="52"/>
      <c r="E525" s="52"/>
      <c r="F525" s="52"/>
      <c r="G525" s="52"/>
      <c r="H525" s="52"/>
      <c r="I525" s="5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x14ac:dyDescent="0.2">
      <c r="A526" s="2"/>
      <c r="B526" s="2"/>
      <c r="C526" s="2"/>
      <c r="D526" s="52"/>
      <c r="E526" s="52"/>
      <c r="F526" s="52"/>
      <c r="G526" s="52"/>
      <c r="H526" s="52"/>
      <c r="I526" s="5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x14ac:dyDescent="0.2">
      <c r="A527" s="2"/>
      <c r="B527" s="2"/>
      <c r="C527" s="2"/>
      <c r="D527" s="52"/>
      <c r="E527" s="52"/>
      <c r="F527" s="52"/>
      <c r="G527" s="52"/>
      <c r="H527" s="52"/>
      <c r="I527" s="5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x14ac:dyDescent="0.2">
      <c r="A528" s="2"/>
      <c r="B528" s="2"/>
      <c r="C528" s="2"/>
      <c r="D528" s="52"/>
      <c r="E528" s="52"/>
      <c r="F528" s="52"/>
      <c r="G528" s="52"/>
      <c r="H528" s="52"/>
      <c r="I528" s="5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x14ac:dyDescent="0.2">
      <c r="A529" s="2"/>
      <c r="B529" s="2"/>
      <c r="C529" s="2"/>
      <c r="D529" s="52"/>
      <c r="E529" s="52"/>
      <c r="F529" s="52"/>
      <c r="G529" s="52"/>
      <c r="H529" s="52"/>
      <c r="I529" s="5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x14ac:dyDescent="0.2">
      <c r="A530" s="2"/>
      <c r="B530" s="2"/>
      <c r="C530" s="2"/>
      <c r="D530" s="52"/>
      <c r="E530" s="52"/>
      <c r="F530" s="52"/>
      <c r="G530" s="52"/>
      <c r="H530" s="52"/>
      <c r="I530" s="5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x14ac:dyDescent="0.2">
      <c r="A531" s="2"/>
      <c r="B531" s="2"/>
      <c r="C531" s="2"/>
      <c r="D531" s="52"/>
      <c r="E531" s="52"/>
      <c r="F531" s="52"/>
      <c r="G531" s="52"/>
      <c r="H531" s="52"/>
      <c r="I531" s="5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x14ac:dyDescent="0.2">
      <c r="A532" s="2"/>
      <c r="B532" s="2"/>
      <c r="C532" s="2"/>
      <c r="D532" s="52"/>
      <c r="E532" s="52"/>
      <c r="F532" s="52"/>
      <c r="G532" s="52"/>
      <c r="H532" s="52"/>
      <c r="I532" s="5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x14ac:dyDescent="0.2">
      <c r="A533" s="2"/>
      <c r="B533" s="2"/>
      <c r="C533" s="2"/>
      <c r="D533" s="52"/>
      <c r="E533" s="52"/>
      <c r="F533" s="52"/>
      <c r="G533" s="52"/>
      <c r="H533" s="52"/>
      <c r="I533" s="5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x14ac:dyDescent="0.2">
      <c r="A534" s="2"/>
      <c r="B534" s="2"/>
      <c r="C534" s="2"/>
      <c r="D534" s="52"/>
      <c r="E534" s="52"/>
      <c r="F534" s="52"/>
      <c r="G534" s="52"/>
      <c r="H534" s="52"/>
      <c r="I534" s="5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x14ac:dyDescent="0.2">
      <c r="A535" s="2"/>
      <c r="B535" s="2"/>
      <c r="C535" s="2"/>
      <c r="D535" s="52"/>
      <c r="E535" s="52"/>
      <c r="F535" s="52"/>
      <c r="G535" s="52"/>
      <c r="H535" s="52"/>
      <c r="I535" s="5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x14ac:dyDescent="0.2">
      <c r="A536" s="2"/>
      <c r="B536" s="2"/>
      <c r="C536" s="2"/>
      <c r="D536" s="52"/>
      <c r="E536" s="52"/>
      <c r="F536" s="52"/>
      <c r="G536" s="52"/>
      <c r="H536" s="52"/>
      <c r="I536" s="5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x14ac:dyDescent="0.2">
      <c r="A537" s="2"/>
      <c r="B537" s="2"/>
      <c r="C537" s="2"/>
      <c r="D537" s="52"/>
      <c r="E537" s="52"/>
      <c r="F537" s="52"/>
      <c r="G537" s="52"/>
      <c r="H537" s="52"/>
      <c r="I537" s="5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x14ac:dyDescent="0.2">
      <c r="A538" s="2"/>
      <c r="B538" s="2"/>
      <c r="C538" s="2"/>
      <c r="D538" s="52"/>
      <c r="E538" s="52"/>
      <c r="F538" s="52"/>
      <c r="G538" s="52"/>
      <c r="H538" s="52"/>
      <c r="I538" s="5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x14ac:dyDescent="0.2">
      <c r="A539" s="2"/>
      <c r="B539" s="2"/>
      <c r="C539" s="2"/>
      <c r="D539" s="52"/>
      <c r="E539" s="52"/>
      <c r="F539" s="52"/>
      <c r="G539" s="52"/>
      <c r="H539" s="52"/>
      <c r="I539" s="5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x14ac:dyDescent="0.2">
      <c r="A540" s="2"/>
      <c r="B540" s="2"/>
      <c r="C540" s="2"/>
      <c r="D540" s="52"/>
      <c r="E540" s="52"/>
      <c r="F540" s="52"/>
      <c r="G540" s="52"/>
      <c r="H540" s="52"/>
      <c r="I540" s="5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x14ac:dyDescent="0.2">
      <c r="A541" s="2"/>
      <c r="B541" s="2"/>
      <c r="C541" s="2"/>
      <c r="D541" s="52"/>
      <c r="E541" s="52"/>
      <c r="F541" s="52"/>
      <c r="G541" s="52"/>
      <c r="H541" s="52"/>
      <c r="I541" s="5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x14ac:dyDescent="0.2">
      <c r="A542" s="2"/>
      <c r="B542" s="2"/>
      <c r="C542" s="2"/>
      <c r="D542" s="52"/>
      <c r="E542" s="52"/>
      <c r="F542" s="52"/>
      <c r="G542" s="52"/>
      <c r="H542" s="52"/>
      <c r="I542" s="5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x14ac:dyDescent="0.2">
      <c r="A543" s="2"/>
      <c r="B543" s="2"/>
      <c r="C543" s="2"/>
      <c r="D543" s="52"/>
      <c r="E543" s="52"/>
      <c r="F543" s="52"/>
      <c r="G543" s="52"/>
      <c r="H543" s="52"/>
      <c r="I543" s="5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x14ac:dyDescent="0.2">
      <c r="A544" s="2"/>
      <c r="B544" s="2"/>
      <c r="C544" s="2"/>
      <c r="D544" s="52"/>
      <c r="E544" s="52"/>
      <c r="F544" s="52"/>
      <c r="G544" s="52"/>
      <c r="H544" s="52"/>
      <c r="I544" s="5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x14ac:dyDescent="0.2">
      <c r="A545" s="2"/>
      <c r="B545" s="2"/>
      <c r="C545" s="2"/>
      <c r="D545" s="52"/>
      <c r="E545" s="52"/>
      <c r="F545" s="52"/>
      <c r="G545" s="52"/>
      <c r="H545" s="52"/>
      <c r="I545" s="5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x14ac:dyDescent="0.2">
      <c r="A546" s="2"/>
      <c r="B546" s="2"/>
      <c r="C546" s="2"/>
      <c r="D546" s="52"/>
      <c r="E546" s="52"/>
      <c r="F546" s="52"/>
      <c r="G546" s="52"/>
      <c r="H546" s="52"/>
      <c r="I546" s="5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x14ac:dyDescent="0.2">
      <c r="A547" s="2"/>
      <c r="B547" s="2"/>
      <c r="C547" s="2"/>
      <c r="D547" s="52"/>
      <c r="E547" s="52"/>
      <c r="F547" s="52"/>
      <c r="G547" s="52"/>
      <c r="H547" s="52"/>
      <c r="I547" s="5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x14ac:dyDescent="0.2">
      <c r="A548" s="2"/>
      <c r="B548" s="2"/>
      <c r="C548" s="2"/>
      <c r="D548" s="52"/>
      <c r="E548" s="52"/>
      <c r="F548" s="52"/>
      <c r="G548" s="52"/>
      <c r="H548" s="52"/>
      <c r="I548" s="5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x14ac:dyDescent="0.2">
      <c r="A549" s="2"/>
      <c r="B549" s="2"/>
      <c r="C549" s="2"/>
      <c r="D549" s="52"/>
      <c r="E549" s="52"/>
      <c r="F549" s="52"/>
      <c r="G549" s="52"/>
      <c r="H549" s="52"/>
      <c r="I549" s="5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x14ac:dyDescent="0.2">
      <c r="A550" s="2"/>
      <c r="B550" s="2"/>
      <c r="C550" s="2"/>
      <c r="D550" s="52"/>
      <c r="E550" s="52"/>
      <c r="F550" s="52"/>
      <c r="G550" s="52"/>
      <c r="H550" s="52"/>
      <c r="I550" s="5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x14ac:dyDescent="0.2">
      <c r="A551" s="2"/>
      <c r="B551" s="2"/>
      <c r="C551" s="2"/>
      <c r="D551" s="52"/>
      <c r="E551" s="52"/>
      <c r="F551" s="52"/>
      <c r="G551" s="52"/>
      <c r="H551" s="52"/>
      <c r="I551" s="5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x14ac:dyDescent="0.2">
      <c r="A552" s="2"/>
      <c r="B552" s="2"/>
      <c r="C552" s="2"/>
      <c r="D552" s="52"/>
      <c r="E552" s="52"/>
      <c r="F552" s="52"/>
      <c r="G552" s="52"/>
      <c r="H552" s="52"/>
      <c r="I552" s="5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x14ac:dyDescent="0.2">
      <c r="A553" s="2"/>
      <c r="B553" s="2"/>
      <c r="C553" s="2"/>
      <c r="D553" s="52"/>
      <c r="E553" s="52"/>
      <c r="F553" s="52"/>
      <c r="G553" s="52"/>
      <c r="H553" s="52"/>
      <c r="I553" s="5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x14ac:dyDescent="0.2">
      <c r="A554" s="2"/>
      <c r="B554" s="2"/>
      <c r="C554" s="2"/>
      <c r="D554" s="52"/>
      <c r="E554" s="52"/>
      <c r="F554" s="52"/>
      <c r="G554" s="52"/>
      <c r="H554" s="52"/>
      <c r="I554" s="5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x14ac:dyDescent="0.2">
      <c r="A555" s="2"/>
      <c r="B555" s="2"/>
      <c r="C555" s="2"/>
      <c r="D555" s="52"/>
      <c r="E555" s="52"/>
      <c r="F555" s="52"/>
      <c r="G555" s="52"/>
      <c r="H555" s="52"/>
      <c r="I555" s="5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x14ac:dyDescent="0.2">
      <c r="A556" s="2"/>
      <c r="B556" s="2"/>
      <c r="C556" s="2"/>
      <c r="D556" s="52"/>
      <c r="E556" s="52"/>
      <c r="F556" s="52"/>
      <c r="G556" s="52"/>
      <c r="H556" s="52"/>
      <c r="I556" s="5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x14ac:dyDescent="0.2">
      <c r="A557" s="2"/>
      <c r="B557" s="2"/>
      <c r="C557" s="2"/>
      <c r="D557" s="52"/>
      <c r="E557" s="52"/>
      <c r="F557" s="52"/>
      <c r="G557" s="52"/>
      <c r="H557" s="52"/>
      <c r="I557" s="5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x14ac:dyDescent="0.2">
      <c r="A558" s="2"/>
      <c r="B558" s="2"/>
      <c r="C558" s="2"/>
      <c r="D558" s="52"/>
      <c r="E558" s="52"/>
      <c r="F558" s="52"/>
      <c r="G558" s="52"/>
      <c r="H558" s="52"/>
      <c r="I558" s="5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x14ac:dyDescent="0.2">
      <c r="A559" s="2"/>
      <c r="B559" s="2"/>
      <c r="C559" s="2"/>
      <c r="D559" s="52"/>
      <c r="E559" s="52"/>
      <c r="F559" s="52"/>
      <c r="G559" s="52"/>
      <c r="H559" s="52"/>
      <c r="I559" s="5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x14ac:dyDescent="0.2">
      <c r="A560" s="2"/>
      <c r="B560" s="2"/>
      <c r="C560" s="2"/>
      <c r="D560" s="52"/>
      <c r="E560" s="52"/>
      <c r="F560" s="52"/>
      <c r="G560" s="52"/>
      <c r="H560" s="52"/>
      <c r="I560" s="5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x14ac:dyDescent="0.2">
      <c r="A561" s="2"/>
      <c r="B561" s="2"/>
      <c r="C561" s="2"/>
      <c r="D561" s="52"/>
      <c r="E561" s="52"/>
      <c r="F561" s="52"/>
      <c r="G561" s="52"/>
      <c r="H561" s="52"/>
      <c r="I561" s="5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x14ac:dyDescent="0.2">
      <c r="A562" s="2"/>
      <c r="B562" s="2"/>
      <c r="C562" s="2"/>
      <c r="D562" s="52"/>
      <c r="E562" s="52"/>
      <c r="F562" s="52"/>
      <c r="G562" s="52"/>
      <c r="H562" s="52"/>
      <c r="I562" s="5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x14ac:dyDescent="0.2">
      <c r="A563" s="2"/>
      <c r="B563" s="2"/>
      <c r="C563" s="2"/>
      <c r="D563" s="52"/>
      <c r="E563" s="52"/>
      <c r="F563" s="52"/>
      <c r="G563" s="52"/>
      <c r="H563" s="52"/>
      <c r="I563" s="5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x14ac:dyDescent="0.2">
      <c r="A564" s="2"/>
      <c r="B564" s="2"/>
      <c r="C564" s="2"/>
      <c r="D564" s="52"/>
      <c r="E564" s="52"/>
      <c r="F564" s="52"/>
      <c r="G564" s="52"/>
      <c r="H564" s="52"/>
      <c r="I564" s="5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x14ac:dyDescent="0.2">
      <c r="A565" s="2"/>
      <c r="B565" s="2"/>
      <c r="C565" s="2"/>
      <c r="D565" s="52"/>
      <c r="E565" s="52"/>
      <c r="F565" s="52"/>
      <c r="G565" s="52"/>
      <c r="H565" s="52"/>
      <c r="I565" s="5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x14ac:dyDescent="0.2">
      <c r="A566" s="2"/>
      <c r="B566" s="2"/>
      <c r="C566" s="2"/>
      <c r="D566" s="52"/>
      <c r="E566" s="52"/>
      <c r="F566" s="52"/>
      <c r="G566" s="52"/>
      <c r="H566" s="52"/>
      <c r="I566" s="5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x14ac:dyDescent="0.2">
      <c r="A567" s="2"/>
      <c r="B567" s="2"/>
      <c r="C567" s="2"/>
      <c r="D567" s="52"/>
      <c r="E567" s="52"/>
      <c r="F567" s="52"/>
      <c r="G567" s="52"/>
      <c r="H567" s="52"/>
      <c r="I567" s="5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x14ac:dyDescent="0.2">
      <c r="A568" s="2"/>
      <c r="B568" s="2"/>
      <c r="C568" s="2"/>
      <c r="D568" s="52"/>
      <c r="E568" s="52"/>
      <c r="F568" s="52"/>
      <c r="G568" s="52"/>
      <c r="H568" s="52"/>
      <c r="I568" s="5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x14ac:dyDescent="0.2">
      <c r="A569" s="2"/>
      <c r="B569" s="2"/>
      <c r="C569" s="2"/>
      <c r="D569" s="52"/>
      <c r="E569" s="52"/>
      <c r="F569" s="52"/>
      <c r="G569" s="52"/>
      <c r="H569" s="52"/>
      <c r="I569" s="5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x14ac:dyDescent="0.2">
      <c r="A570" s="2"/>
      <c r="B570" s="2"/>
      <c r="C570" s="2"/>
      <c r="D570" s="52"/>
      <c r="E570" s="52"/>
      <c r="F570" s="52"/>
      <c r="G570" s="52"/>
      <c r="H570" s="52"/>
      <c r="I570" s="5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x14ac:dyDescent="0.2">
      <c r="A571" s="2"/>
      <c r="B571" s="2"/>
      <c r="C571" s="2"/>
      <c r="D571" s="52"/>
      <c r="E571" s="52"/>
      <c r="F571" s="52"/>
      <c r="G571" s="52"/>
      <c r="H571" s="52"/>
      <c r="I571" s="5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x14ac:dyDescent="0.2">
      <c r="A572" s="2"/>
      <c r="B572" s="2"/>
      <c r="C572" s="2"/>
      <c r="D572" s="52"/>
      <c r="E572" s="52"/>
      <c r="F572" s="52"/>
      <c r="G572" s="52"/>
      <c r="H572" s="52"/>
      <c r="I572" s="5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x14ac:dyDescent="0.2">
      <c r="A573" s="2"/>
      <c r="B573" s="2"/>
      <c r="C573" s="2"/>
      <c r="D573" s="52"/>
      <c r="E573" s="52"/>
      <c r="F573" s="52"/>
      <c r="G573" s="52"/>
      <c r="H573" s="52"/>
      <c r="I573" s="5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x14ac:dyDescent="0.2">
      <c r="A574" s="2"/>
      <c r="B574" s="2"/>
      <c r="C574" s="2"/>
      <c r="D574" s="52"/>
      <c r="E574" s="52"/>
      <c r="F574" s="52"/>
      <c r="G574" s="52"/>
      <c r="H574" s="52"/>
      <c r="I574" s="5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x14ac:dyDescent="0.2">
      <c r="A575" s="2"/>
      <c r="B575" s="2"/>
      <c r="C575" s="2"/>
      <c r="D575" s="52"/>
      <c r="E575" s="52"/>
      <c r="F575" s="52"/>
      <c r="G575" s="52"/>
      <c r="H575" s="52"/>
      <c r="I575" s="5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x14ac:dyDescent="0.2">
      <c r="A576" s="2"/>
      <c r="B576" s="2"/>
      <c r="C576" s="2"/>
      <c r="D576" s="52"/>
      <c r="E576" s="52"/>
      <c r="F576" s="52"/>
      <c r="G576" s="52"/>
      <c r="H576" s="52"/>
      <c r="I576" s="5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x14ac:dyDescent="0.2">
      <c r="A577" s="2"/>
      <c r="B577" s="2"/>
      <c r="C577" s="2"/>
      <c r="D577" s="52"/>
      <c r="E577" s="52"/>
      <c r="F577" s="52"/>
      <c r="G577" s="52"/>
      <c r="H577" s="52"/>
      <c r="I577" s="5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x14ac:dyDescent="0.2">
      <c r="A578" s="2"/>
      <c r="B578" s="2"/>
      <c r="C578" s="2"/>
      <c r="D578" s="52"/>
      <c r="E578" s="52"/>
      <c r="F578" s="52"/>
      <c r="G578" s="52"/>
      <c r="H578" s="52"/>
      <c r="I578" s="5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x14ac:dyDescent="0.2">
      <c r="A579" s="2"/>
      <c r="B579" s="2"/>
      <c r="C579" s="2"/>
      <c r="D579" s="52"/>
      <c r="E579" s="52"/>
      <c r="F579" s="52"/>
      <c r="G579" s="52"/>
      <c r="H579" s="52"/>
      <c r="I579" s="5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x14ac:dyDescent="0.2">
      <c r="A580" s="2"/>
      <c r="B580" s="2"/>
      <c r="C580" s="2"/>
      <c r="D580" s="52"/>
      <c r="E580" s="52"/>
      <c r="F580" s="52"/>
      <c r="G580" s="52"/>
      <c r="H580" s="52"/>
      <c r="I580" s="5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x14ac:dyDescent="0.2">
      <c r="A581" s="2"/>
      <c r="B581" s="2"/>
      <c r="C581" s="2"/>
      <c r="D581" s="52"/>
      <c r="E581" s="52"/>
      <c r="F581" s="52"/>
      <c r="G581" s="52"/>
      <c r="H581" s="52"/>
      <c r="I581" s="5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x14ac:dyDescent="0.2">
      <c r="A582" s="2"/>
      <c r="B582" s="2"/>
      <c r="C582" s="2"/>
      <c r="D582" s="52"/>
      <c r="E582" s="52"/>
      <c r="F582" s="52"/>
      <c r="G582" s="52"/>
      <c r="H582" s="52"/>
      <c r="I582" s="5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x14ac:dyDescent="0.2">
      <c r="A583" s="2"/>
      <c r="B583" s="2"/>
      <c r="C583" s="2"/>
      <c r="D583" s="52"/>
      <c r="E583" s="52"/>
      <c r="F583" s="52"/>
      <c r="G583" s="52"/>
      <c r="H583" s="52"/>
      <c r="I583" s="5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x14ac:dyDescent="0.2">
      <c r="A584" s="2"/>
      <c r="B584" s="2"/>
      <c r="C584" s="2"/>
      <c r="D584" s="52"/>
      <c r="E584" s="52"/>
      <c r="F584" s="52"/>
      <c r="G584" s="52"/>
      <c r="H584" s="52"/>
      <c r="I584" s="5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x14ac:dyDescent="0.2">
      <c r="A585" s="2"/>
      <c r="B585" s="2"/>
      <c r="C585" s="2"/>
      <c r="D585" s="52"/>
      <c r="E585" s="52"/>
      <c r="F585" s="52"/>
      <c r="G585" s="52"/>
      <c r="H585" s="52"/>
      <c r="I585" s="5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x14ac:dyDescent="0.2">
      <c r="A586" s="2"/>
      <c r="B586" s="2"/>
      <c r="C586" s="2"/>
      <c r="D586" s="52"/>
      <c r="E586" s="52"/>
      <c r="F586" s="52"/>
      <c r="G586" s="52"/>
      <c r="H586" s="52"/>
      <c r="I586" s="5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x14ac:dyDescent="0.2">
      <c r="A587" s="2"/>
      <c r="B587" s="2"/>
      <c r="C587" s="2"/>
      <c r="D587" s="52"/>
      <c r="E587" s="52"/>
      <c r="F587" s="52"/>
      <c r="G587" s="52"/>
      <c r="H587" s="52"/>
      <c r="I587" s="5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x14ac:dyDescent="0.2">
      <c r="A588" s="2"/>
      <c r="B588" s="2"/>
      <c r="C588" s="2"/>
      <c r="D588" s="52"/>
      <c r="E588" s="52"/>
      <c r="F588" s="52"/>
      <c r="G588" s="52"/>
      <c r="H588" s="52"/>
      <c r="I588" s="5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x14ac:dyDescent="0.2">
      <c r="A589" s="2"/>
      <c r="B589" s="2"/>
      <c r="C589" s="2"/>
      <c r="D589" s="52"/>
      <c r="E589" s="52"/>
      <c r="F589" s="52"/>
      <c r="G589" s="52"/>
      <c r="H589" s="52"/>
      <c r="I589" s="5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x14ac:dyDescent="0.2">
      <c r="A590" s="2"/>
      <c r="B590" s="2"/>
      <c r="C590" s="2"/>
      <c r="D590" s="52"/>
      <c r="E590" s="52"/>
      <c r="F590" s="52"/>
      <c r="G590" s="52"/>
      <c r="H590" s="52"/>
      <c r="I590" s="5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x14ac:dyDescent="0.2">
      <c r="A591" s="2"/>
      <c r="B591" s="2"/>
      <c r="C591" s="2"/>
      <c r="D591" s="52"/>
      <c r="E591" s="52"/>
      <c r="F591" s="52"/>
      <c r="G591" s="52"/>
      <c r="H591" s="52"/>
      <c r="I591" s="5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x14ac:dyDescent="0.2">
      <c r="A592" s="2"/>
      <c r="B592" s="2"/>
      <c r="C592" s="2"/>
      <c r="D592" s="52"/>
      <c r="E592" s="52"/>
      <c r="F592" s="52"/>
      <c r="G592" s="52"/>
      <c r="H592" s="52"/>
      <c r="I592" s="5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x14ac:dyDescent="0.2">
      <c r="A593" s="2"/>
      <c r="B593" s="2"/>
      <c r="C593" s="2"/>
      <c r="D593" s="52"/>
      <c r="E593" s="52"/>
      <c r="F593" s="52"/>
      <c r="G593" s="52"/>
      <c r="H593" s="52"/>
      <c r="I593" s="5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x14ac:dyDescent="0.2">
      <c r="A594" s="2"/>
      <c r="B594" s="2"/>
      <c r="C594" s="2"/>
      <c r="D594" s="52"/>
      <c r="E594" s="52"/>
      <c r="F594" s="52"/>
      <c r="G594" s="52"/>
      <c r="H594" s="52"/>
      <c r="I594" s="5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x14ac:dyDescent="0.2">
      <c r="A595" s="2"/>
      <c r="B595" s="2"/>
      <c r="C595" s="2"/>
      <c r="D595" s="52"/>
      <c r="E595" s="52"/>
      <c r="F595" s="52"/>
      <c r="G595" s="52"/>
      <c r="H595" s="52"/>
      <c r="I595" s="5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x14ac:dyDescent="0.2">
      <c r="A596" s="2"/>
      <c r="B596" s="2"/>
      <c r="C596" s="2"/>
      <c r="D596" s="52"/>
      <c r="E596" s="52"/>
      <c r="F596" s="52"/>
      <c r="G596" s="52"/>
      <c r="H596" s="52"/>
      <c r="I596" s="5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x14ac:dyDescent="0.2">
      <c r="A597" s="2"/>
      <c r="B597" s="2"/>
      <c r="C597" s="2"/>
      <c r="D597" s="52"/>
      <c r="E597" s="52"/>
      <c r="F597" s="52"/>
      <c r="G597" s="52"/>
      <c r="H597" s="52"/>
      <c r="I597" s="5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x14ac:dyDescent="0.2">
      <c r="A598" s="2"/>
      <c r="B598" s="2"/>
      <c r="C598" s="2"/>
      <c r="D598" s="52"/>
      <c r="E598" s="52"/>
      <c r="F598" s="52"/>
      <c r="G598" s="52"/>
      <c r="H598" s="52"/>
      <c r="I598" s="5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x14ac:dyDescent="0.2">
      <c r="A599" s="2"/>
      <c r="B599" s="2"/>
      <c r="C599" s="2"/>
      <c r="D599" s="52"/>
      <c r="E599" s="52"/>
      <c r="F599" s="52"/>
      <c r="G599" s="52"/>
      <c r="H599" s="52"/>
      <c r="I599" s="5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x14ac:dyDescent="0.2">
      <c r="A600" s="2"/>
      <c r="B600" s="2"/>
      <c r="C600" s="2"/>
      <c r="D600" s="52"/>
      <c r="E600" s="52"/>
      <c r="F600" s="52"/>
      <c r="G600" s="52"/>
      <c r="H600" s="52"/>
      <c r="I600" s="5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x14ac:dyDescent="0.2">
      <c r="A601" s="2"/>
      <c r="B601" s="2"/>
      <c r="C601" s="2"/>
      <c r="D601" s="52"/>
      <c r="E601" s="52"/>
      <c r="F601" s="52"/>
      <c r="G601" s="52"/>
      <c r="H601" s="52"/>
      <c r="I601" s="5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x14ac:dyDescent="0.2">
      <c r="A602" s="2"/>
      <c r="B602" s="2"/>
      <c r="C602" s="2"/>
      <c r="D602" s="52"/>
      <c r="E602" s="52"/>
      <c r="F602" s="52"/>
      <c r="G602" s="52"/>
      <c r="H602" s="52"/>
      <c r="I602" s="5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x14ac:dyDescent="0.2">
      <c r="A603" s="2"/>
      <c r="B603" s="2"/>
      <c r="C603" s="2"/>
      <c r="D603" s="52"/>
      <c r="E603" s="52"/>
      <c r="F603" s="52"/>
      <c r="G603" s="52"/>
      <c r="H603" s="52"/>
      <c r="I603" s="5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x14ac:dyDescent="0.2">
      <c r="A604" s="2"/>
      <c r="B604" s="2"/>
      <c r="C604" s="2"/>
      <c r="D604" s="52"/>
      <c r="E604" s="52"/>
      <c r="F604" s="52"/>
      <c r="G604" s="52"/>
      <c r="H604" s="52"/>
      <c r="I604" s="5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x14ac:dyDescent="0.2">
      <c r="A605" s="2"/>
      <c r="B605" s="2"/>
      <c r="C605" s="2"/>
      <c r="D605" s="52"/>
      <c r="E605" s="52"/>
      <c r="F605" s="52"/>
      <c r="G605" s="52"/>
      <c r="H605" s="52"/>
      <c r="I605" s="5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x14ac:dyDescent="0.2">
      <c r="A606" s="2"/>
      <c r="B606" s="2"/>
      <c r="C606" s="2"/>
      <c r="D606" s="52"/>
      <c r="E606" s="52"/>
      <c r="F606" s="52"/>
      <c r="G606" s="52"/>
      <c r="H606" s="52"/>
      <c r="I606" s="5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x14ac:dyDescent="0.2">
      <c r="A607" s="2"/>
      <c r="B607" s="2"/>
      <c r="C607" s="2"/>
      <c r="D607" s="52"/>
      <c r="E607" s="52"/>
      <c r="F607" s="52"/>
      <c r="G607" s="52"/>
      <c r="H607" s="52"/>
      <c r="I607" s="5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x14ac:dyDescent="0.2">
      <c r="A608" s="2"/>
      <c r="B608" s="2"/>
      <c r="C608" s="2"/>
      <c r="D608" s="52"/>
      <c r="E608" s="52"/>
      <c r="F608" s="52"/>
      <c r="G608" s="52"/>
      <c r="H608" s="52"/>
      <c r="I608" s="5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x14ac:dyDescent="0.2">
      <c r="A609" s="2"/>
      <c r="B609" s="2"/>
      <c r="C609" s="2"/>
      <c r="D609" s="52"/>
      <c r="E609" s="52"/>
      <c r="F609" s="52"/>
      <c r="G609" s="52"/>
      <c r="H609" s="52"/>
      <c r="I609" s="5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x14ac:dyDescent="0.2">
      <c r="A610" s="2"/>
      <c r="B610" s="2"/>
      <c r="C610" s="2"/>
      <c r="D610" s="52"/>
      <c r="E610" s="52"/>
      <c r="F610" s="52"/>
      <c r="G610" s="52"/>
      <c r="H610" s="52"/>
      <c r="I610" s="5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x14ac:dyDescent="0.2">
      <c r="A611" s="2"/>
      <c r="B611" s="2"/>
      <c r="C611" s="2"/>
      <c r="D611" s="52"/>
      <c r="E611" s="52"/>
      <c r="F611" s="52"/>
      <c r="G611" s="52"/>
      <c r="H611" s="52"/>
      <c r="I611" s="5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x14ac:dyDescent="0.2">
      <c r="A612" s="2"/>
      <c r="B612" s="2"/>
      <c r="C612" s="2"/>
      <c r="D612" s="52"/>
      <c r="E612" s="52"/>
      <c r="F612" s="52"/>
      <c r="G612" s="52"/>
      <c r="H612" s="52"/>
      <c r="I612" s="5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x14ac:dyDescent="0.2">
      <c r="A613" s="2"/>
      <c r="B613" s="2"/>
      <c r="C613" s="2"/>
      <c r="D613" s="52"/>
      <c r="E613" s="52"/>
      <c r="F613" s="52"/>
      <c r="G613" s="52"/>
      <c r="H613" s="52"/>
      <c r="I613" s="5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x14ac:dyDescent="0.2">
      <c r="A614" s="2"/>
      <c r="B614" s="2"/>
      <c r="C614" s="2"/>
      <c r="D614" s="52"/>
      <c r="E614" s="52"/>
      <c r="F614" s="52"/>
      <c r="G614" s="52"/>
      <c r="H614" s="52"/>
      <c r="I614" s="5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x14ac:dyDescent="0.2">
      <c r="A615" s="2"/>
      <c r="B615" s="2"/>
      <c r="C615" s="2"/>
      <c r="D615" s="52"/>
      <c r="E615" s="52"/>
      <c r="F615" s="52"/>
      <c r="G615" s="52"/>
      <c r="H615" s="52"/>
      <c r="I615" s="5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x14ac:dyDescent="0.2">
      <c r="A616" s="2"/>
      <c r="B616" s="2"/>
      <c r="C616" s="2"/>
      <c r="D616" s="52"/>
      <c r="E616" s="52"/>
      <c r="F616" s="52"/>
      <c r="G616" s="52"/>
      <c r="H616" s="52"/>
      <c r="I616" s="5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x14ac:dyDescent="0.2">
      <c r="A617" s="2"/>
      <c r="B617" s="2"/>
      <c r="C617" s="2"/>
      <c r="D617" s="52"/>
      <c r="E617" s="52"/>
      <c r="F617" s="52"/>
      <c r="G617" s="52"/>
      <c r="H617" s="52"/>
      <c r="I617" s="5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x14ac:dyDescent="0.2">
      <c r="A618" s="2"/>
      <c r="B618" s="2"/>
      <c r="C618" s="2"/>
      <c r="D618" s="52"/>
      <c r="E618" s="52"/>
      <c r="F618" s="52"/>
      <c r="G618" s="52"/>
      <c r="H618" s="52"/>
      <c r="I618" s="5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x14ac:dyDescent="0.2">
      <c r="A619" s="2"/>
      <c r="B619" s="2"/>
      <c r="C619" s="2"/>
      <c r="D619" s="52"/>
      <c r="E619" s="52"/>
      <c r="F619" s="52"/>
      <c r="G619" s="52"/>
      <c r="H619" s="52"/>
      <c r="I619" s="5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x14ac:dyDescent="0.2">
      <c r="A620" s="2"/>
      <c r="B620" s="2"/>
      <c r="C620" s="2"/>
      <c r="D620" s="52"/>
      <c r="E620" s="52"/>
      <c r="F620" s="52"/>
      <c r="G620" s="52"/>
      <c r="H620" s="52"/>
      <c r="I620" s="5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x14ac:dyDescent="0.2">
      <c r="A621" s="2"/>
      <c r="B621" s="2"/>
      <c r="C621" s="2"/>
      <c r="D621" s="52"/>
      <c r="E621" s="52"/>
      <c r="F621" s="52"/>
      <c r="G621" s="52"/>
      <c r="H621" s="52"/>
      <c r="I621" s="5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x14ac:dyDescent="0.2">
      <c r="A622" s="2"/>
      <c r="B622" s="2"/>
      <c r="C622" s="2"/>
      <c r="D622" s="52"/>
      <c r="E622" s="52"/>
      <c r="F622" s="52"/>
      <c r="G622" s="52"/>
      <c r="H622" s="52"/>
      <c r="I622" s="5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x14ac:dyDescent="0.2">
      <c r="A623" s="2"/>
      <c r="B623" s="2"/>
      <c r="C623" s="2"/>
      <c r="D623" s="52"/>
      <c r="E623" s="52"/>
      <c r="F623" s="52"/>
      <c r="G623" s="52"/>
      <c r="H623" s="52"/>
      <c r="I623" s="5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x14ac:dyDescent="0.2">
      <c r="A624" s="2"/>
      <c r="B624" s="2"/>
      <c r="C624" s="2"/>
      <c r="D624" s="52"/>
      <c r="E624" s="52"/>
      <c r="F624" s="52"/>
      <c r="G624" s="52"/>
      <c r="H624" s="52"/>
      <c r="I624" s="5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x14ac:dyDescent="0.2">
      <c r="A625" s="2"/>
      <c r="B625" s="2"/>
      <c r="C625" s="2"/>
      <c r="D625" s="52"/>
      <c r="E625" s="52"/>
      <c r="F625" s="52"/>
      <c r="G625" s="52"/>
      <c r="H625" s="52"/>
      <c r="I625" s="5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x14ac:dyDescent="0.2">
      <c r="A626" s="2"/>
      <c r="B626" s="2"/>
      <c r="C626" s="2"/>
      <c r="D626" s="52"/>
      <c r="E626" s="52"/>
      <c r="F626" s="52"/>
      <c r="G626" s="52"/>
      <c r="H626" s="52"/>
      <c r="I626" s="5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x14ac:dyDescent="0.2">
      <c r="A627" s="2"/>
      <c r="B627" s="2"/>
      <c r="C627" s="2"/>
      <c r="D627" s="52"/>
      <c r="E627" s="52"/>
      <c r="F627" s="52"/>
      <c r="G627" s="52"/>
      <c r="H627" s="52"/>
      <c r="I627" s="5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x14ac:dyDescent="0.2">
      <c r="A628" s="2"/>
      <c r="B628" s="2"/>
      <c r="C628" s="2"/>
      <c r="D628" s="52"/>
      <c r="E628" s="52"/>
      <c r="F628" s="52"/>
      <c r="G628" s="52"/>
      <c r="H628" s="52"/>
      <c r="I628" s="5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x14ac:dyDescent="0.2">
      <c r="A629" s="2"/>
      <c r="B629" s="2"/>
      <c r="C629" s="2"/>
      <c r="D629" s="52"/>
      <c r="E629" s="52"/>
      <c r="F629" s="52"/>
      <c r="G629" s="52"/>
      <c r="H629" s="52"/>
      <c r="I629" s="5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x14ac:dyDescent="0.2">
      <c r="A630" s="2"/>
      <c r="B630" s="2"/>
      <c r="C630" s="2"/>
      <c r="D630" s="52"/>
      <c r="E630" s="52"/>
      <c r="F630" s="52"/>
      <c r="G630" s="52"/>
      <c r="H630" s="52"/>
      <c r="I630" s="5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x14ac:dyDescent="0.2">
      <c r="A631" s="2"/>
      <c r="B631" s="2"/>
      <c r="C631" s="2"/>
      <c r="D631" s="52"/>
      <c r="E631" s="52"/>
      <c r="F631" s="52"/>
      <c r="G631" s="52"/>
      <c r="H631" s="52"/>
      <c r="I631" s="5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x14ac:dyDescent="0.2">
      <c r="A632" s="2"/>
      <c r="B632" s="2"/>
      <c r="C632" s="2"/>
      <c r="D632" s="52"/>
      <c r="E632" s="52"/>
      <c r="F632" s="52"/>
      <c r="G632" s="52"/>
      <c r="H632" s="52"/>
      <c r="I632" s="5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x14ac:dyDescent="0.2">
      <c r="A633" s="2"/>
      <c r="B633" s="2"/>
      <c r="C633" s="2"/>
      <c r="D633" s="52"/>
      <c r="E633" s="52"/>
      <c r="F633" s="52"/>
      <c r="G633" s="52"/>
      <c r="H633" s="52"/>
      <c r="I633" s="5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x14ac:dyDescent="0.2">
      <c r="A634" s="2"/>
      <c r="B634" s="2"/>
      <c r="C634" s="2"/>
      <c r="D634" s="52"/>
      <c r="E634" s="52"/>
      <c r="F634" s="52"/>
      <c r="G634" s="52"/>
      <c r="H634" s="52"/>
      <c r="I634" s="5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x14ac:dyDescent="0.2">
      <c r="A635" s="2"/>
      <c r="B635" s="2"/>
      <c r="C635" s="2"/>
      <c r="D635" s="52"/>
      <c r="E635" s="52"/>
      <c r="F635" s="52"/>
      <c r="G635" s="52"/>
      <c r="H635" s="52"/>
      <c r="I635" s="5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x14ac:dyDescent="0.2">
      <c r="A636" s="2"/>
      <c r="B636" s="2"/>
      <c r="C636" s="2"/>
      <c r="D636" s="52"/>
      <c r="E636" s="52"/>
      <c r="F636" s="52"/>
      <c r="G636" s="52"/>
      <c r="H636" s="52"/>
      <c r="I636" s="5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x14ac:dyDescent="0.2">
      <c r="A637" s="2"/>
      <c r="B637" s="2"/>
      <c r="C637" s="2"/>
      <c r="D637" s="52"/>
      <c r="E637" s="52"/>
      <c r="F637" s="52"/>
      <c r="G637" s="52"/>
      <c r="H637" s="52"/>
      <c r="I637" s="5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x14ac:dyDescent="0.2">
      <c r="A638" s="2"/>
      <c r="B638" s="2"/>
      <c r="C638" s="2"/>
      <c r="D638" s="52"/>
      <c r="E638" s="52"/>
      <c r="F638" s="52"/>
      <c r="G638" s="52"/>
      <c r="H638" s="52"/>
      <c r="I638" s="5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x14ac:dyDescent="0.2">
      <c r="A639" s="2"/>
      <c r="B639" s="2"/>
      <c r="C639" s="2"/>
      <c r="D639" s="52"/>
      <c r="E639" s="52"/>
      <c r="F639" s="52"/>
      <c r="G639" s="52"/>
      <c r="H639" s="52"/>
      <c r="I639" s="5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x14ac:dyDescent="0.2">
      <c r="A640" s="2"/>
      <c r="B640" s="2"/>
      <c r="C640" s="2"/>
      <c r="D640" s="52"/>
      <c r="E640" s="52"/>
      <c r="F640" s="52"/>
      <c r="G640" s="52"/>
      <c r="H640" s="52"/>
      <c r="I640" s="5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x14ac:dyDescent="0.2">
      <c r="A641" s="2"/>
      <c r="B641" s="2"/>
      <c r="C641" s="2"/>
      <c r="D641" s="52"/>
      <c r="E641" s="52"/>
      <c r="F641" s="52"/>
      <c r="G641" s="52"/>
      <c r="H641" s="52"/>
      <c r="I641" s="5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x14ac:dyDescent="0.2">
      <c r="A642" s="2"/>
      <c r="B642" s="2"/>
      <c r="C642" s="2"/>
      <c r="D642" s="52"/>
      <c r="E642" s="52"/>
      <c r="F642" s="52"/>
      <c r="G642" s="52"/>
      <c r="H642" s="52"/>
      <c r="I642" s="5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x14ac:dyDescent="0.2">
      <c r="A643" s="2"/>
      <c r="B643" s="2"/>
      <c r="C643" s="2"/>
      <c r="D643" s="52"/>
      <c r="E643" s="52"/>
      <c r="F643" s="52"/>
      <c r="G643" s="52"/>
      <c r="H643" s="52"/>
      <c r="I643" s="5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x14ac:dyDescent="0.2">
      <c r="A644" s="2"/>
      <c r="B644" s="2"/>
      <c r="C644" s="2"/>
      <c r="D644" s="52"/>
      <c r="E644" s="52"/>
      <c r="F644" s="52"/>
      <c r="G644" s="52"/>
      <c r="H644" s="52"/>
      <c r="I644" s="5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x14ac:dyDescent="0.2">
      <c r="A645" s="2"/>
      <c r="B645" s="2"/>
      <c r="C645" s="2"/>
      <c r="D645" s="52"/>
      <c r="E645" s="52"/>
      <c r="F645" s="52"/>
      <c r="G645" s="52"/>
      <c r="H645" s="52"/>
      <c r="I645" s="5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x14ac:dyDescent="0.2">
      <c r="A646" s="2"/>
      <c r="B646" s="2"/>
      <c r="C646" s="2"/>
      <c r="D646" s="52"/>
      <c r="E646" s="52"/>
      <c r="F646" s="52"/>
      <c r="G646" s="52"/>
      <c r="H646" s="52"/>
      <c r="I646" s="5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x14ac:dyDescent="0.2">
      <c r="A647" s="2"/>
      <c r="B647" s="2"/>
      <c r="C647" s="2"/>
      <c r="D647" s="52"/>
      <c r="E647" s="52"/>
      <c r="F647" s="52"/>
      <c r="G647" s="52"/>
      <c r="H647" s="52"/>
      <c r="I647" s="5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x14ac:dyDescent="0.2">
      <c r="A648" s="2"/>
      <c r="B648" s="2"/>
      <c r="C648" s="2"/>
      <c r="D648" s="52"/>
      <c r="E648" s="52"/>
      <c r="F648" s="52"/>
      <c r="G648" s="52"/>
      <c r="H648" s="52"/>
      <c r="I648" s="5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x14ac:dyDescent="0.2">
      <c r="A649" s="2"/>
      <c r="B649" s="2"/>
      <c r="C649" s="2"/>
      <c r="D649" s="52"/>
      <c r="E649" s="52"/>
      <c r="F649" s="52"/>
      <c r="G649" s="52"/>
      <c r="H649" s="52"/>
      <c r="I649" s="5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x14ac:dyDescent="0.2">
      <c r="A650" s="2"/>
      <c r="B650" s="2"/>
      <c r="C650" s="2"/>
      <c r="D650" s="52"/>
      <c r="E650" s="52"/>
      <c r="F650" s="52"/>
      <c r="G650" s="52"/>
      <c r="H650" s="52"/>
      <c r="I650" s="5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x14ac:dyDescent="0.2">
      <c r="A651" s="2"/>
      <c r="B651" s="2"/>
      <c r="C651" s="2"/>
      <c r="D651" s="52"/>
      <c r="E651" s="52"/>
      <c r="F651" s="52"/>
      <c r="G651" s="52"/>
      <c r="H651" s="52"/>
      <c r="I651" s="5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x14ac:dyDescent="0.2">
      <c r="A652" s="2"/>
      <c r="B652" s="2"/>
      <c r="C652" s="2"/>
      <c r="D652" s="52"/>
      <c r="E652" s="52"/>
      <c r="F652" s="52"/>
      <c r="G652" s="52"/>
      <c r="H652" s="52"/>
      <c r="I652" s="5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x14ac:dyDescent="0.2">
      <c r="A653" s="2"/>
      <c r="B653" s="2"/>
      <c r="C653" s="2"/>
      <c r="D653" s="52"/>
      <c r="E653" s="52"/>
      <c r="F653" s="52"/>
      <c r="G653" s="52"/>
      <c r="H653" s="52"/>
      <c r="I653" s="5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x14ac:dyDescent="0.2">
      <c r="A654" s="2"/>
      <c r="B654" s="2"/>
      <c r="C654" s="2"/>
      <c r="D654" s="52"/>
      <c r="E654" s="52"/>
      <c r="F654" s="52"/>
      <c r="G654" s="52"/>
      <c r="H654" s="52"/>
      <c r="I654" s="5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x14ac:dyDescent="0.2">
      <c r="A655" s="2"/>
      <c r="B655" s="2"/>
      <c r="C655" s="2"/>
      <c r="D655" s="52"/>
      <c r="E655" s="52"/>
      <c r="F655" s="52"/>
      <c r="G655" s="52"/>
      <c r="H655" s="52"/>
      <c r="I655" s="5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x14ac:dyDescent="0.2">
      <c r="A656" s="2"/>
      <c r="B656" s="2"/>
      <c r="C656" s="2"/>
      <c r="D656" s="52"/>
      <c r="E656" s="52"/>
      <c r="F656" s="52"/>
      <c r="G656" s="52"/>
      <c r="H656" s="52"/>
      <c r="I656" s="5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x14ac:dyDescent="0.2">
      <c r="A657" s="2"/>
      <c r="B657" s="2"/>
      <c r="C657" s="2"/>
      <c r="D657" s="52"/>
      <c r="E657" s="52"/>
      <c r="F657" s="52"/>
      <c r="G657" s="52"/>
      <c r="H657" s="52"/>
      <c r="I657" s="5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x14ac:dyDescent="0.2">
      <c r="A658" s="2"/>
      <c r="B658" s="2"/>
      <c r="C658" s="2"/>
      <c r="D658" s="52"/>
      <c r="E658" s="52"/>
      <c r="F658" s="52"/>
      <c r="G658" s="52"/>
      <c r="H658" s="52"/>
      <c r="I658" s="5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x14ac:dyDescent="0.2">
      <c r="A659" s="2"/>
      <c r="B659" s="2"/>
      <c r="C659" s="2"/>
      <c r="D659" s="52"/>
      <c r="E659" s="52"/>
      <c r="F659" s="52"/>
      <c r="G659" s="52"/>
      <c r="H659" s="52"/>
      <c r="I659" s="5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x14ac:dyDescent="0.2">
      <c r="A660" s="2"/>
      <c r="B660" s="2"/>
      <c r="C660" s="2"/>
      <c r="D660" s="52"/>
      <c r="E660" s="52"/>
      <c r="F660" s="52"/>
      <c r="G660" s="52"/>
      <c r="H660" s="52"/>
      <c r="I660" s="5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x14ac:dyDescent="0.2">
      <c r="A661" s="2"/>
      <c r="B661" s="2"/>
      <c r="C661" s="2"/>
      <c r="D661" s="52"/>
      <c r="E661" s="52"/>
      <c r="F661" s="52"/>
      <c r="G661" s="52"/>
      <c r="H661" s="52"/>
      <c r="I661" s="5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x14ac:dyDescent="0.2">
      <c r="A662" s="2"/>
      <c r="B662" s="2"/>
      <c r="C662" s="2"/>
      <c r="D662" s="52"/>
      <c r="E662" s="52"/>
      <c r="F662" s="52"/>
      <c r="G662" s="52"/>
      <c r="H662" s="52"/>
      <c r="I662" s="5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x14ac:dyDescent="0.2">
      <c r="A663" s="2"/>
      <c r="B663" s="2"/>
      <c r="C663" s="2"/>
      <c r="D663" s="52"/>
      <c r="E663" s="52"/>
      <c r="F663" s="52"/>
      <c r="G663" s="52"/>
      <c r="H663" s="52"/>
      <c r="I663" s="5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x14ac:dyDescent="0.2">
      <c r="A664" s="2"/>
      <c r="B664" s="2"/>
      <c r="C664" s="2"/>
      <c r="D664" s="52"/>
      <c r="E664" s="52"/>
      <c r="F664" s="52"/>
      <c r="G664" s="52"/>
      <c r="H664" s="52"/>
      <c r="I664" s="5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x14ac:dyDescent="0.2">
      <c r="A665" s="2"/>
      <c r="B665" s="2"/>
      <c r="C665" s="2"/>
      <c r="D665" s="52"/>
      <c r="E665" s="52"/>
      <c r="F665" s="52"/>
      <c r="G665" s="52"/>
      <c r="H665" s="52"/>
      <c r="I665" s="5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x14ac:dyDescent="0.2">
      <c r="A666" s="2"/>
      <c r="B666" s="2"/>
      <c r="C666" s="2"/>
      <c r="D666" s="52"/>
      <c r="E666" s="52"/>
      <c r="F666" s="52"/>
      <c r="G666" s="52"/>
      <c r="H666" s="52"/>
      <c r="I666" s="5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x14ac:dyDescent="0.2">
      <c r="A667" s="2"/>
      <c r="B667" s="2"/>
      <c r="C667" s="2"/>
      <c r="D667" s="52"/>
      <c r="E667" s="52"/>
      <c r="F667" s="52"/>
      <c r="G667" s="52"/>
      <c r="H667" s="52"/>
      <c r="I667" s="5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x14ac:dyDescent="0.2">
      <c r="A668" s="2"/>
      <c r="B668" s="2"/>
      <c r="C668" s="2"/>
      <c r="D668" s="52"/>
      <c r="E668" s="52"/>
      <c r="F668" s="52"/>
      <c r="G668" s="52"/>
      <c r="H668" s="52"/>
      <c r="I668" s="5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x14ac:dyDescent="0.2">
      <c r="A669" s="2"/>
      <c r="B669" s="2"/>
      <c r="C669" s="2"/>
      <c r="D669" s="52"/>
      <c r="E669" s="52"/>
      <c r="F669" s="52"/>
      <c r="G669" s="52"/>
      <c r="H669" s="52"/>
      <c r="I669" s="5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x14ac:dyDescent="0.2">
      <c r="A670" s="2"/>
      <c r="B670" s="2"/>
      <c r="C670" s="2"/>
      <c r="D670" s="52"/>
      <c r="E670" s="52"/>
      <c r="F670" s="52"/>
      <c r="G670" s="52"/>
      <c r="H670" s="52"/>
      <c r="I670" s="5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x14ac:dyDescent="0.2">
      <c r="A671" s="2"/>
      <c r="B671" s="2"/>
      <c r="C671" s="2"/>
      <c r="D671" s="52"/>
      <c r="E671" s="52"/>
      <c r="F671" s="52"/>
      <c r="G671" s="52"/>
      <c r="H671" s="52"/>
      <c r="I671" s="5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x14ac:dyDescent="0.2">
      <c r="A672" s="2"/>
      <c r="B672" s="2"/>
      <c r="C672" s="2"/>
      <c r="D672" s="52"/>
      <c r="E672" s="52"/>
      <c r="F672" s="52"/>
      <c r="G672" s="52"/>
      <c r="H672" s="52"/>
      <c r="I672" s="5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x14ac:dyDescent="0.2">
      <c r="A673" s="2"/>
      <c r="B673" s="2"/>
      <c r="C673" s="2"/>
      <c r="D673" s="52"/>
      <c r="E673" s="52"/>
      <c r="F673" s="52"/>
      <c r="G673" s="52"/>
      <c r="H673" s="52"/>
      <c r="I673" s="5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x14ac:dyDescent="0.2">
      <c r="A674" s="2"/>
      <c r="B674" s="2"/>
      <c r="C674" s="2"/>
      <c r="D674" s="52"/>
      <c r="E674" s="52"/>
      <c r="F674" s="52"/>
      <c r="G674" s="52"/>
      <c r="H674" s="52"/>
      <c r="I674" s="5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x14ac:dyDescent="0.2">
      <c r="A675" s="2"/>
      <c r="B675" s="2"/>
      <c r="C675" s="2"/>
      <c r="D675" s="52"/>
      <c r="E675" s="52"/>
      <c r="F675" s="52"/>
      <c r="G675" s="52"/>
      <c r="H675" s="52"/>
      <c r="I675" s="5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x14ac:dyDescent="0.2">
      <c r="A676" s="2"/>
      <c r="B676" s="2"/>
      <c r="C676" s="2"/>
      <c r="D676" s="52"/>
      <c r="E676" s="52"/>
      <c r="F676" s="52"/>
      <c r="G676" s="52"/>
      <c r="H676" s="52"/>
      <c r="I676" s="5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x14ac:dyDescent="0.2">
      <c r="A677" s="2"/>
      <c r="B677" s="2"/>
      <c r="C677" s="2"/>
      <c r="D677" s="52"/>
      <c r="E677" s="52"/>
      <c r="F677" s="52"/>
      <c r="G677" s="52"/>
      <c r="H677" s="52"/>
      <c r="I677" s="5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x14ac:dyDescent="0.2">
      <c r="A678" s="2"/>
      <c r="B678" s="2"/>
      <c r="C678" s="2"/>
      <c r="D678" s="52"/>
      <c r="E678" s="52"/>
      <c r="F678" s="52"/>
      <c r="G678" s="52"/>
      <c r="H678" s="52"/>
      <c r="I678" s="5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x14ac:dyDescent="0.2">
      <c r="A679" s="2"/>
      <c r="B679" s="2"/>
      <c r="C679" s="2"/>
      <c r="D679" s="52"/>
      <c r="E679" s="52"/>
      <c r="F679" s="52"/>
      <c r="G679" s="52"/>
      <c r="H679" s="52"/>
      <c r="I679" s="5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x14ac:dyDescent="0.2">
      <c r="A680" s="2"/>
      <c r="B680" s="2"/>
      <c r="C680" s="2"/>
      <c r="D680" s="52"/>
      <c r="E680" s="52"/>
      <c r="F680" s="52"/>
      <c r="G680" s="52"/>
      <c r="H680" s="52"/>
      <c r="I680" s="5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x14ac:dyDescent="0.2">
      <c r="A681" s="2"/>
      <c r="B681" s="2"/>
      <c r="C681" s="2"/>
      <c r="D681" s="52"/>
      <c r="E681" s="52"/>
      <c r="F681" s="52"/>
      <c r="G681" s="52"/>
      <c r="H681" s="52"/>
      <c r="I681" s="5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x14ac:dyDescent="0.2">
      <c r="A682" s="2"/>
      <c r="B682" s="2"/>
      <c r="C682" s="2"/>
      <c r="D682" s="52"/>
      <c r="E682" s="52"/>
      <c r="F682" s="52"/>
      <c r="G682" s="52"/>
      <c r="H682" s="52"/>
      <c r="I682" s="5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x14ac:dyDescent="0.2">
      <c r="A683" s="2"/>
      <c r="B683" s="2"/>
      <c r="C683" s="2"/>
      <c r="D683" s="52"/>
      <c r="E683" s="52"/>
      <c r="F683" s="52"/>
      <c r="G683" s="52"/>
      <c r="H683" s="52"/>
      <c r="I683" s="5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x14ac:dyDescent="0.2">
      <c r="A684" s="2"/>
      <c r="B684" s="2"/>
      <c r="C684" s="2"/>
      <c r="D684" s="52"/>
      <c r="E684" s="52"/>
      <c r="F684" s="52"/>
      <c r="G684" s="52"/>
      <c r="H684" s="52"/>
      <c r="I684" s="5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x14ac:dyDescent="0.2">
      <c r="A685" s="2"/>
      <c r="B685" s="2"/>
      <c r="C685" s="2"/>
      <c r="D685" s="52"/>
      <c r="E685" s="52"/>
      <c r="F685" s="52"/>
      <c r="G685" s="52"/>
      <c r="H685" s="52"/>
      <c r="I685" s="5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x14ac:dyDescent="0.2">
      <c r="A686" s="2"/>
      <c r="B686" s="2"/>
      <c r="C686" s="2"/>
      <c r="D686" s="52"/>
      <c r="E686" s="52"/>
      <c r="F686" s="52"/>
      <c r="G686" s="52"/>
      <c r="H686" s="52"/>
      <c r="I686" s="5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x14ac:dyDescent="0.2">
      <c r="A687" s="2"/>
      <c r="B687" s="2"/>
      <c r="C687" s="2"/>
      <c r="D687" s="52"/>
      <c r="E687" s="52"/>
      <c r="F687" s="52"/>
      <c r="G687" s="52"/>
      <c r="H687" s="52"/>
      <c r="I687" s="5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x14ac:dyDescent="0.2">
      <c r="A688" s="2"/>
      <c r="B688" s="2"/>
      <c r="C688" s="2"/>
      <c r="D688" s="52"/>
      <c r="E688" s="52"/>
      <c r="F688" s="52"/>
      <c r="G688" s="52"/>
      <c r="H688" s="52"/>
      <c r="I688" s="5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x14ac:dyDescent="0.2">
      <c r="A689" s="2"/>
      <c r="B689" s="2"/>
      <c r="C689" s="2"/>
      <c r="D689" s="52"/>
      <c r="E689" s="52"/>
      <c r="F689" s="52"/>
      <c r="G689" s="52"/>
      <c r="H689" s="52"/>
      <c r="I689" s="5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x14ac:dyDescent="0.2">
      <c r="A690" s="2"/>
      <c r="B690" s="2"/>
      <c r="C690" s="2"/>
      <c r="D690" s="52"/>
      <c r="E690" s="52"/>
      <c r="F690" s="52"/>
      <c r="G690" s="52"/>
      <c r="H690" s="52"/>
      <c r="I690" s="5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x14ac:dyDescent="0.2">
      <c r="A691" s="2"/>
      <c r="B691" s="2"/>
      <c r="C691" s="2"/>
      <c r="D691" s="52"/>
      <c r="E691" s="52"/>
      <c r="F691" s="52"/>
      <c r="G691" s="52"/>
      <c r="H691" s="52"/>
      <c r="I691" s="5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x14ac:dyDescent="0.2">
      <c r="A692" s="2"/>
      <c r="B692" s="2"/>
      <c r="C692" s="2"/>
      <c r="D692" s="52"/>
      <c r="E692" s="52"/>
      <c r="F692" s="52"/>
      <c r="G692" s="52"/>
      <c r="H692" s="52"/>
      <c r="I692" s="5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x14ac:dyDescent="0.2">
      <c r="A693" s="2"/>
      <c r="B693" s="2"/>
      <c r="C693" s="2"/>
      <c r="D693" s="52"/>
      <c r="E693" s="52"/>
      <c r="F693" s="52"/>
      <c r="G693" s="52"/>
      <c r="H693" s="52"/>
      <c r="I693" s="5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x14ac:dyDescent="0.2">
      <c r="A694" s="2"/>
      <c r="B694" s="2"/>
      <c r="C694" s="2"/>
      <c r="D694" s="52"/>
      <c r="E694" s="52"/>
      <c r="F694" s="52"/>
      <c r="G694" s="52"/>
      <c r="H694" s="52"/>
      <c r="I694" s="5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x14ac:dyDescent="0.2">
      <c r="A695" s="2"/>
      <c r="B695" s="2"/>
      <c r="C695" s="2"/>
      <c r="D695" s="52"/>
      <c r="E695" s="52"/>
      <c r="F695" s="52"/>
      <c r="G695" s="52"/>
      <c r="H695" s="52"/>
      <c r="I695" s="5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x14ac:dyDescent="0.2">
      <c r="A696" s="2"/>
      <c r="B696" s="2"/>
      <c r="C696" s="2"/>
      <c r="D696" s="52"/>
      <c r="E696" s="52"/>
      <c r="F696" s="52"/>
      <c r="G696" s="52"/>
      <c r="H696" s="52"/>
      <c r="I696" s="5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x14ac:dyDescent="0.2">
      <c r="A697" s="2"/>
      <c r="B697" s="2"/>
      <c r="C697" s="2"/>
      <c r="D697" s="52"/>
      <c r="E697" s="52"/>
      <c r="F697" s="52"/>
      <c r="G697" s="52"/>
      <c r="H697" s="52"/>
      <c r="I697" s="5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x14ac:dyDescent="0.2">
      <c r="A698" s="2"/>
      <c r="B698" s="2"/>
      <c r="C698" s="2"/>
      <c r="D698" s="52"/>
      <c r="E698" s="52"/>
      <c r="F698" s="52"/>
      <c r="G698" s="52"/>
      <c r="H698" s="52"/>
      <c r="I698" s="5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x14ac:dyDescent="0.2">
      <c r="A699" s="2"/>
      <c r="B699" s="2"/>
      <c r="C699" s="2"/>
      <c r="D699" s="52"/>
      <c r="E699" s="52"/>
      <c r="F699" s="52"/>
      <c r="G699" s="52"/>
      <c r="H699" s="52"/>
      <c r="I699" s="5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x14ac:dyDescent="0.2">
      <c r="A700" s="2"/>
      <c r="B700" s="2"/>
      <c r="C700" s="2"/>
      <c r="D700" s="52"/>
      <c r="E700" s="52"/>
      <c r="F700" s="52"/>
      <c r="G700" s="52"/>
      <c r="H700" s="52"/>
      <c r="I700" s="5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x14ac:dyDescent="0.2">
      <c r="A701" s="2"/>
      <c r="B701" s="2"/>
      <c r="C701" s="2"/>
      <c r="D701" s="52"/>
      <c r="E701" s="52"/>
      <c r="F701" s="52"/>
      <c r="G701" s="52"/>
      <c r="H701" s="52"/>
      <c r="I701" s="5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x14ac:dyDescent="0.2">
      <c r="A702" s="2"/>
      <c r="B702" s="2"/>
      <c r="C702" s="2"/>
      <c r="D702" s="52"/>
      <c r="E702" s="52"/>
      <c r="F702" s="52"/>
      <c r="G702" s="52"/>
      <c r="H702" s="52"/>
      <c r="I702" s="5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x14ac:dyDescent="0.2">
      <c r="A703" s="2"/>
      <c r="B703" s="2"/>
      <c r="C703" s="2"/>
      <c r="D703" s="52"/>
      <c r="E703" s="52"/>
      <c r="F703" s="52"/>
      <c r="G703" s="52"/>
      <c r="H703" s="52"/>
      <c r="I703" s="5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x14ac:dyDescent="0.2">
      <c r="A704" s="2"/>
      <c r="B704" s="2"/>
      <c r="C704" s="2"/>
      <c r="D704" s="52"/>
      <c r="E704" s="52"/>
      <c r="F704" s="52"/>
      <c r="G704" s="52"/>
      <c r="H704" s="52"/>
      <c r="I704" s="5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x14ac:dyDescent="0.2">
      <c r="A705" s="2"/>
      <c r="B705" s="2"/>
      <c r="C705" s="2"/>
      <c r="D705" s="52"/>
      <c r="E705" s="52"/>
      <c r="F705" s="52"/>
      <c r="G705" s="52"/>
      <c r="H705" s="52"/>
      <c r="I705" s="5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x14ac:dyDescent="0.2">
      <c r="A706" s="2"/>
      <c r="B706" s="2"/>
      <c r="C706" s="2"/>
      <c r="D706" s="52"/>
      <c r="E706" s="52"/>
      <c r="F706" s="52"/>
      <c r="G706" s="52"/>
      <c r="H706" s="52"/>
      <c r="I706" s="5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x14ac:dyDescent="0.2">
      <c r="A707" s="2"/>
      <c r="B707" s="2"/>
      <c r="C707" s="2"/>
      <c r="D707" s="52"/>
      <c r="E707" s="52"/>
      <c r="F707" s="52"/>
      <c r="G707" s="52"/>
      <c r="H707" s="52"/>
      <c r="I707" s="5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x14ac:dyDescent="0.2">
      <c r="A708" s="2"/>
      <c r="B708" s="2"/>
      <c r="C708" s="2"/>
      <c r="D708" s="52"/>
      <c r="E708" s="52"/>
      <c r="F708" s="52"/>
      <c r="G708" s="52"/>
      <c r="H708" s="52"/>
      <c r="I708" s="5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x14ac:dyDescent="0.2">
      <c r="A709" s="2"/>
      <c r="B709" s="2"/>
      <c r="C709" s="2"/>
      <c r="D709" s="52"/>
      <c r="E709" s="52"/>
      <c r="F709" s="52"/>
      <c r="G709" s="52"/>
      <c r="H709" s="52"/>
      <c r="I709" s="5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x14ac:dyDescent="0.2">
      <c r="A710" s="2"/>
      <c r="B710" s="2"/>
      <c r="C710" s="2"/>
      <c r="D710" s="52"/>
      <c r="E710" s="52"/>
      <c r="F710" s="52"/>
      <c r="G710" s="52"/>
      <c r="H710" s="52"/>
      <c r="I710" s="5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x14ac:dyDescent="0.2">
      <c r="A711" s="2"/>
      <c r="B711" s="2"/>
      <c r="C711" s="2"/>
      <c r="D711" s="52"/>
      <c r="E711" s="52"/>
      <c r="F711" s="52"/>
      <c r="G711" s="52"/>
      <c r="H711" s="52"/>
      <c r="I711" s="5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x14ac:dyDescent="0.2">
      <c r="A712" s="2"/>
      <c r="B712" s="2"/>
      <c r="C712" s="2"/>
      <c r="D712" s="52"/>
      <c r="E712" s="52"/>
      <c r="F712" s="52"/>
      <c r="G712" s="52"/>
      <c r="H712" s="52"/>
      <c r="I712" s="5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x14ac:dyDescent="0.2">
      <c r="A713" s="2"/>
      <c r="B713" s="2"/>
      <c r="C713" s="2"/>
      <c r="D713" s="52"/>
      <c r="E713" s="52"/>
      <c r="F713" s="52"/>
      <c r="G713" s="52"/>
      <c r="H713" s="52"/>
      <c r="I713" s="5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x14ac:dyDescent="0.2">
      <c r="A714" s="2"/>
      <c r="B714" s="2"/>
      <c r="C714" s="2"/>
      <c r="D714" s="52"/>
      <c r="E714" s="52"/>
      <c r="F714" s="52"/>
      <c r="G714" s="52"/>
      <c r="H714" s="52"/>
      <c r="I714" s="5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x14ac:dyDescent="0.2">
      <c r="A715" s="2"/>
      <c r="B715" s="2"/>
      <c r="C715" s="2"/>
      <c r="D715" s="52"/>
      <c r="E715" s="52"/>
      <c r="F715" s="52"/>
      <c r="G715" s="52"/>
      <c r="H715" s="52"/>
      <c r="I715" s="5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x14ac:dyDescent="0.2">
      <c r="A716" s="2"/>
      <c r="B716" s="2"/>
      <c r="C716" s="2"/>
      <c r="D716" s="52"/>
      <c r="E716" s="52"/>
      <c r="F716" s="52"/>
      <c r="G716" s="52"/>
      <c r="H716" s="52"/>
      <c r="I716" s="5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x14ac:dyDescent="0.2">
      <c r="A717" s="2"/>
      <c r="B717" s="2"/>
      <c r="C717" s="2"/>
      <c r="D717" s="52"/>
      <c r="E717" s="52"/>
      <c r="F717" s="52"/>
      <c r="G717" s="52"/>
      <c r="H717" s="52"/>
      <c r="I717" s="5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x14ac:dyDescent="0.2">
      <c r="A718" s="2"/>
      <c r="B718" s="2"/>
      <c r="C718" s="2"/>
      <c r="D718" s="52"/>
      <c r="E718" s="52"/>
      <c r="F718" s="52"/>
      <c r="G718" s="52"/>
      <c r="H718" s="52"/>
      <c r="I718" s="5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x14ac:dyDescent="0.2">
      <c r="A719" s="2"/>
      <c r="B719" s="2"/>
      <c r="C719" s="2"/>
      <c r="D719" s="52"/>
      <c r="E719" s="52"/>
      <c r="F719" s="52"/>
      <c r="G719" s="52"/>
      <c r="H719" s="52"/>
      <c r="I719" s="5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x14ac:dyDescent="0.2">
      <c r="A720" s="2"/>
      <c r="B720" s="2"/>
      <c r="C720" s="2"/>
      <c r="D720" s="52"/>
      <c r="E720" s="52"/>
      <c r="F720" s="52"/>
      <c r="G720" s="52"/>
      <c r="H720" s="52"/>
      <c r="I720" s="5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x14ac:dyDescent="0.2">
      <c r="A721" s="2"/>
      <c r="B721" s="2"/>
      <c r="C721" s="2"/>
      <c r="D721" s="52"/>
      <c r="E721" s="52"/>
      <c r="F721" s="52"/>
      <c r="G721" s="52"/>
      <c r="H721" s="52"/>
      <c r="I721" s="5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x14ac:dyDescent="0.2">
      <c r="A722" s="2"/>
      <c r="B722" s="2"/>
      <c r="C722" s="2"/>
      <c r="D722" s="52"/>
      <c r="E722" s="52"/>
      <c r="F722" s="52"/>
      <c r="G722" s="52"/>
      <c r="H722" s="52"/>
      <c r="I722" s="5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x14ac:dyDescent="0.2">
      <c r="A723" s="2"/>
      <c r="B723" s="2"/>
      <c r="C723" s="2"/>
      <c r="D723" s="52"/>
      <c r="E723" s="52"/>
      <c r="F723" s="52"/>
      <c r="G723" s="52"/>
      <c r="H723" s="52"/>
      <c r="I723" s="5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x14ac:dyDescent="0.2">
      <c r="A724" s="2"/>
      <c r="B724" s="2"/>
      <c r="C724" s="2"/>
      <c r="D724" s="52"/>
      <c r="E724" s="52"/>
      <c r="F724" s="52"/>
      <c r="G724" s="52"/>
      <c r="H724" s="52"/>
      <c r="I724" s="5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x14ac:dyDescent="0.2">
      <c r="A725" s="2"/>
      <c r="B725" s="2"/>
      <c r="C725" s="2"/>
      <c r="D725" s="52"/>
      <c r="E725" s="52"/>
      <c r="F725" s="52"/>
      <c r="G725" s="52"/>
      <c r="H725" s="52"/>
      <c r="I725" s="5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x14ac:dyDescent="0.2">
      <c r="A726" s="2"/>
      <c r="B726" s="2"/>
      <c r="C726" s="2"/>
      <c r="D726" s="52"/>
      <c r="E726" s="52"/>
      <c r="F726" s="52"/>
      <c r="G726" s="52"/>
      <c r="H726" s="52"/>
      <c r="I726" s="5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x14ac:dyDescent="0.2">
      <c r="A727" s="2"/>
      <c r="B727" s="2"/>
      <c r="C727" s="2"/>
      <c r="D727" s="52"/>
      <c r="E727" s="52"/>
      <c r="F727" s="52"/>
      <c r="G727" s="52"/>
      <c r="H727" s="52"/>
      <c r="I727" s="5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x14ac:dyDescent="0.2">
      <c r="A728" s="2"/>
      <c r="B728" s="2"/>
      <c r="C728" s="2"/>
      <c r="D728" s="52"/>
      <c r="E728" s="52"/>
      <c r="F728" s="52"/>
      <c r="G728" s="52"/>
      <c r="H728" s="52"/>
      <c r="I728" s="5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x14ac:dyDescent="0.2">
      <c r="A729" s="2"/>
      <c r="B729" s="2"/>
      <c r="C729" s="2"/>
      <c r="D729" s="52"/>
      <c r="E729" s="52"/>
      <c r="F729" s="52"/>
      <c r="G729" s="52"/>
      <c r="H729" s="52"/>
      <c r="I729" s="5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x14ac:dyDescent="0.2">
      <c r="A730" s="2"/>
      <c r="B730" s="2"/>
      <c r="C730" s="2"/>
      <c r="D730" s="52"/>
      <c r="E730" s="52"/>
      <c r="F730" s="52"/>
      <c r="G730" s="52"/>
      <c r="H730" s="52"/>
      <c r="I730" s="5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x14ac:dyDescent="0.2">
      <c r="A731" s="2"/>
      <c r="B731" s="2"/>
      <c r="C731" s="2"/>
      <c r="D731" s="52"/>
      <c r="E731" s="52"/>
      <c r="F731" s="52"/>
      <c r="G731" s="52"/>
      <c r="H731" s="52"/>
      <c r="I731" s="5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x14ac:dyDescent="0.2">
      <c r="A732" s="2"/>
      <c r="B732" s="2"/>
      <c r="C732" s="2"/>
      <c r="D732" s="52"/>
      <c r="E732" s="52"/>
      <c r="F732" s="52"/>
      <c r="G732" s="52"/>
      <c r="H732" s="52"/>
      <c r="I732" s="5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x14ac:dyDescent="0.2">
      <c r="A733" s="2"/>
      <c r="B733" s="2"/>
      <c r="C733" s="2"/>
      <c r="D733" s="52"/>
      <c r="E733" s="52"/>
      <c r="F733" s="52"/>
      <c r="G733" s="52"/>
      <c r="H733" s="52"/>
      <c r="I733" s="5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x14ac:dyDescent="0.2">
      <c r="A734" s="2"/>
      <c r="B734" s="2"/>
      <c r="C734" s="2"/>
      <c r="D734" s="52"/>
      <c r="E734" s="52"/>
      <c r="F734" s="52"/>
      <c r="G734" s="52"/>
      <c r="H734" s="52"/>
      <c r="I734" s="5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x14ac:dyDescent="0.2">
      <c r="A735" s="2"/>
      <c r="B735" s="2"/>
      <c r="C735" s="2"/>
      <c r="D735" s="52"/>
      <c r="E735" s="52"/>
      <c r="F735" s="52"/>
      <c r="G735" s="52"/>
      <c r="H735" s="52"/>
      <c r="I735" s="5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x14ac:dyDescent="0.2">
      <c r="A736" s="2"/>
      <c r="B736" s="2"/>
      <c r="C736" s="2"/>
      <c r="D736" s="52"/>
      <c r="E736" s="52"/>
      <c r="F736" s="52"/>
      <c r="G736" s="52"/>
      <c r="H736" s="52"/>
      <c r="I736" s="5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x14ac:dyDescent="0.2">
      <c r="A737" s="2"/>
      <c r="B737" s="2"/>
      <c r="C737" s="2"/>
      <c r="D737" s="52"/>
      <c r="E737" s="52"/>
      <c r="F737" s="52"/>
      <c r="G737" s="52"/>
      <c r="H737" s="52"/>
      <c r="I737" s="5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x14ac:dyDescent="0.2">
      <c r="A738" s="2"/>
      <c r="B738" s="2"/>
      <c r="C738" s="2"/>
      <c r="D738" s="52"/>
      <c r="E738" s="52"/>
      <c r="F738" s="52"/>
      <c r="G738" s="52"/>
      <c r="H738" s="52"/>
      <c r="I738" s="5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x14ac:dyDescent="0.2">
      <c r="A739" s="2"/>
      <c r="B739" s="2"/>
      <c r="C739" s="2"/>
      <c r="D739" s="52"/>
      <c r="E739" s="52"/>
      <c r="F739" s="52"/>
      <c r="G739" s="52"/>
      <c r="H739" s="52"/>
      <c r="I739" s="5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x14ac:dyDescent="0.2">
      <c r="A740" s="2"/>
      <c r="B740" s="2"/>
      <c r="C740" s="2"/>
      <c r="D740" s="52"/>
      <c r="E740" s="52"/>
      <c r="F740" s="52"/>
      <c r="G740" s="52"/>
      <c r="H740" s="52"/>
      <c r="I740" s="5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x14ac:dyDescent="0.2">
      <c r="A741" s="2"/>
      <c r="B741" s="2"/>
      <c r="C741" s="2"/>
      <c r="D741" s="52"/>
      <c r="E741" s="52"/>
      <c r="F741" s="52"/>
      <c r="G741" s="52"/>
      <c r="H741" s="52"/>
      <c r="I741" s="5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x14ac:dyDescent="0.2">
      <c r="A742" s="2"/>
      <c r="B742" s="2"/>
      <c r="C742" s="2"/>
      <c r="D742" s="52"/>
      <c r="E742" s="52"/>
      <c r="F742" s="52"/>
      <c r="G742" s="52"/>
      <c r="H742" s="52"/>
      <c r="I742" s="5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x14ac:dyDescent="0.2">
      <c r="A743" s="2"/>
      <c r="B743" s="2"/>
      <c r="C743" s="2"/>
      <c r="D743" s="52"/>
      <c r="E743" s="52"/>
      <c r="F743" s="52"/>
      <c r="G743" s="52"/>
      <c r="H743" s="52"/>
      <c r="I743" s="5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x14ac:dyDescent="0.2">
      <c r="A744" s="2"/>
      <c r="B744" s="2"/>
      <c r="C744" s="2"/>
      <c r="D744" s="52"/>
      <c r="E744" s="52"/>
      <c r="F744" s="52"/>
      <c r="G744" s="52"/>
      <c r="H744" s="52"/>
      <c r="I744" s="5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x14ac:dyDescent="0.2">
      <c r="A745" s="2"/>
      <c r="B745" s="2"/>
      <c r="C745" s="2"/>
      <c r="D745" s="52"/>
      <c r="E745" s="52"/>
      <c r="F745" s="52"/>
      <c r="G745" s="52"/>
      <c r="H745" s="52"/>
      <c r="I745" s="5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x14ac:dyDescent="0.2">
      <c r="A746" s="2"/>
      <c r="B746" s="2"/>
      <c r="C746" s="2"/>
      <c r="D746" s="52"/>
      <c r="E746" s="52"/>
      <c r="F746" s="52"/>
      <c r="G746" s="52"/>
      <c r="H746" s="52"/>
      <c r="I746" s="5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x14ac:dyDescent="0.2">
      <c r="A747" s="2"/>
      <c r="B747" s="2"/>
      <c r="C747" s="2"/>
      <c r="D747" s="52"/>
      <c r="E747" s="52"/>
      <c r="F747" s="52"/>
      <c r="G747" s="52"/>
      <c r="H747" s="52"/>
      <c r="I747" s="5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x14ac:dyDescent="0.2">
      <c r="A748" s="2"/>
      <c r="B748" s="2"/>
      <c r="C748" s="2"/>
      <c r="D748" s="52"/>
      <c r="E748" s="52"/>
      <c r="F748" s="52"/>
      <c r="G748" s="52"/>
      <c r="H748" s="52"/>
      <c r="I748" s="5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x14ac:dyDescent="0.2">
      <c r="A749" s="2"/>
      <c r="B749" s="2"/>
      <c r="C749" s="2"/>
      <c r="D749" s="52"/>
      <c r="E749" s="52"/>
      <c r="F749" s="52"/>
      <c r="G749" s="52"/>
      <c r="H749" s="52"/>
      <c r="I749" s="5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x14ac:dyDescent="0.2">
      <c r="A750" s="2"/>
      <c r="B750" s="2"/>
      <c r="C750" s="2"/>
      <c r="D750" s="52"/>
      <c r="E750" s="52"/>
      <c r="F750" s="52"/>
      <c r="G750" s="52"/>
      <c r="H750" s="52"/>
      <c r="I750" s="5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x14ac:dyDescent="0.2">
      <c r="A751" s="2"/>
      <c r="B751" s="2"/>
      <c r="C751" s="2"/>
      <c r="D751" s="52"/>
      <c r="E751" s="52"/>
      <c r="F751" s="52"/>
      <c r="G751" s="52"/>
      <c r="H751" s="52"/>
      <c r="I751" s="5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x14ac:dyDescent="0.2">
      <c r="A752" s="2"/>
      <c r="B752" s="2"/>
      <c r="C752" s="2"/>
      <c r="D752" s="52"/>
      <c r="E752" s="52"/>
      <c r="F752" s="52"/>
      <c r="G752" s="52"/>
      <c r="H752" s="52"/>
      <c r="I752" s="5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x14ac:dyDescent="0.2">
      <c r="A753" s="2"/>
      <c r="B753" s="2"/>
      <c r="C753" s="2"/>
      <c r="D753" s="52"/>
      <c r="E753" s="52"/>
      <c r="F753" s="52"/>
      <c r="G753" s="52"/>
      <c r="H753" s="52"/>
      <c r="I753" s="5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x14ac:dyDescent="0.2">
      <c r="A754" s="2"/>
      <c r="B754" s="2"/>
      <c r="C754" s="2"/>
      <c r="D754" s="52"/>
      <c r="E754" s="52"/>
      <c r="F754" s="52"/>
      <c r="G754" s="52"/>
      <c r="H754" s="52"/>
      <c r="I754" s="5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x14ac:dyDescent="0.2">
      <c r="A755" s="2"/>
      <c r="B755" s="2"/>
      <c r="C755" s="2"/>
      <c r="D755" s="52"/>
      <c r="E755" s="52"/>
      <c r="F755" s="52"/>
      <c r="G755" s="52"/>
      <c r="H755" s="52"/>
      <c r="I755" s="5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x14ac:dyDescent="0.2">
      <c r="A756" s="2"/>
      <c r="B756" s="2"/>
      <c r="C756" s="2"/>
      <c r="D756" s="52"/>
      <c r="E756" s="52"/>
      <c r="F756" s="52"/>
      <c r="G756" s="52"/>
      <c r="H756" s="52"/>
      <c r="I756" s="5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x14ac:dyDescent="0.2">
      <c r="A757" s="2"/>
      <c r="B757" s="2"/>
      <c r="C757" s="2"/>
      <c r="D757" s="52"/>
      <c r="E757" s="52"/>
      <c r="F757" s="52"/>
      <c r="G757" s="52"/>
      <c r="H757" s="52"/>
      <c r="I757" s="5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x14ac:dyDescent="0.2">
      <c r="A758" s="2"/>
      <c r="B758" s="2"/>
      <c r="C758" s="2"/>
      <c r="D758" s="52"/>
      <c r="E758" s="52"/>
      <c r="F758" s="52"/>
      <c r="G758" s="52"/>
      <c r="H758" s="52"/>
      <c r="I758" s="5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x14ac:dyDescent="0.2">
      <c r="A759" s="2"/>
      <c r="B759" s="2"/>
      <c r="C759" s="2"/>
      <c r="D759" s="52"/>
      <c r="E759" s="52"/>
      <c r="F759" s="52"/>
      <c r="G759" s="52"/>
      <c r="H759" s="52"/>
      <c r="I759" s="5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x14ac:dyDescent="0.2">
      <c r="A760" s="2"/>
      <c r="B760" s="2"/>
      <c r="C760" s="2"/>
      <c r="D760" s="52"/>
      <c r="E760" s="52"/>
      <c r="F760" s="52"/>
      <c r="G760" s="52"/>
      <c r="H760" s="52"/>
      <c r="I760" s="5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x14ac:dyDescent="0.2">
      <c r="A761" s="2"/>
      <c r="B761" s="2"/>
      <c r="C761" s="2"/>
      <c r="D761" s="52"/>
      <c r="E761" s="52"/>
      <c r="F761" s="52"/>
      <c r="G761" s="52"/>
      <c r="H761" s="52"/>
      <c r="I761" s="5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x14ac:dyDescent="0.2">
      <c r="A762" s="2"/>
      <c r="B762" s="2"/>
      <c r="C762" s="2"/>
      <c r="D762" s="52"/>
      <c r="E762" s="52"/>
      <c r="F762" s="52"/>
      <c r="G762" s="52"/>
      <c r="H762" s="52"/>
      <c r="I762" s="5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x14ac:dyDescent="0.2">
      <c r="A763" s="2"/>
      <c r="B763" s="2"/>
      <c r="C763" s="2"/>
      <c r="D763" s="52"/>
      <c r="E763" s="52"/>
      <c r="F763" s="52"/>
      <c r="G763" s="52"/>
      <c r="H763" s="52"/>
      <c r="I763" s="5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x14ac:dyDescent="0.2">
      <c r="A764" s="2"/>
      <c r="B764" s="2"/>
      <c r="C764" s="2"/>
      <c r="D764" s="52"/>
      <c r="E764" s="52"/>
      <c r="F764" s="52"/>
      <c r="G764" s="52"/>
      <c r="H764" s="52"/>
      <c r="I764" s="5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x14ac:dyDescent="0.2">
      <c r="A765" s="2"/>
      <c r="B765" s="2"/>
      <c r="C765" s="2"/>
      <c r="D765" s="52"/>
      <c r="E765" s="52"/>
      <c r="F765" s="52"/>
      <c r="G765" s="52"/>
      <c r="H765" s="52"/>
      <c r="I765" s="5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x14ac:dyDescent="0.2">
      <c r="A766" s="2"/>
      <c r="B766" s="2"/>
      <c r="C766" s="2"/>
      <c r="D766" s="52"/>
      <c r="E766" s="52"/>
      <c r="F766" s="52"/>
      <c r="G766" s="52"/>
      <c r="H766" s="52"/>
      <c r="I766" s="5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x14ac:dyDescent="0.2">
      <c r="A767" s="2"/>
      <c r="B767" s="2"/>
      <c r="C767" s="2"/>
      <c r="D767" s="52"/>
      <c r="E767" s="52"/>
      <c r="F767" s="52"/>
      <c r="G767" s="52"/>
      <c r="H767" s="52"/>
      <c r="I767" s="5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x14ac:dyDescent="0.2">
      <c r="A768" s="2"/>
      <c r="B768" s="2"/>
      <c r="C768" s="2"/>
      <c r="D768" s="52"/>
      <c r="E768" s="52"/>
      <c r="F768" s="52"/>
      <c r="G768" s="52"/>
      <c r="H768" s="52"/>
      <c r="I768" s="5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x14ac:dyDescent="0.2">
      <c r="A769" s="2"/>
      <c r="B769" s="2"/>
      <c r="C769" s="2"/>
      <c r="D769" s="52"/>
      <c r="E769" s="52"/>
      <c r="F769" s="52"/>
      <c r="G769" s="52"/>
      <c r="H769" s="52"/>
      <c r="I769" s="5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x14ac:dyDescent="0.2">
      <c r="A770" s="2"/>
      <c r="B770" s="2"/>
      <c r="C770" s="2"/>
      <c r="D770" s="52"/>
      <c r="E770" s="52"/>
      <c r="F770" s="52"/>
      <c r="G770" s="52"/>
      <c r="H770" s="52"/>
      <c r="I770" s="5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x14ac:dyDescent="0.2">
      <c r="A771" s="2"/>
      <c r="B771" s="2"/>
      <c r="C771" s="2"/>
      <c r="D771" s="52"/>
      <c r="E771" s="52"/>
      <c r="F771" s="52"/>
      <c r="G771" s="52"/>
      <c r="H771" s="52"/>
      <c r="I771" s="5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x14ac:dyDescent="0.2">
      <c r="A772" s="2"/>
      <c r="B772" s="2"/>
      <c r="C772" s="2"/>
      <c r="D772" s="52"/>
      <c r="E772" s="52"/>
      <c r="F772" s="52"/>
      <c r="G772" s="52"/>
      <c r="H772" s="52"/>
      <c r="I772" s="5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x14ac:dyDescent="0.2">
      <c r="A773" s="2"/>
      <c r="B773" s="2"/>
      <c r="C773" s="2"/>
      <c r="D773" s="52"/>
      <c r="E773" s="52"/>
      <c r="F773" s="52"/>
      <c r="G773" s="52"/>
      <c r="H773" s="52"/>
      <c r="I773" s="5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x14ac:dyDescent="0.2">
      <c r="A774" s="2"/>
      <c r="B774" s="2"/>
      <c r="C774" s="2"/>
      <c r="D774" s="52"/>
      <c r="E774" s="52"/>
      <c r="F774" s="52"/>
      <c r="G774" s="52"/>
      <c r="H774" s="52"/>
      <c r="I774" s="5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x14ac:dyDescent="0.2">
      <c r="A775" s="2"/>
      <c r="B775" s="2"/>
      <c r="C775" s="2"/>
      <c r="D775" s="52"/>
      <c r="E775" s="52"/>
      <c r="F775" s="52"/>
      <c r="G775" s="52"/>
      <c r="H775" s="52"/>
      <c r="I775" s="5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x14ac:dyDescent="0.2">
      <c r="A776" s="2"/>
      <c r="B776" s="2"/>
      <c r="C776" s="2"/>
      <c r="D776" s="52"/>
      <c r="E776" s="52"/>
      <c r="F776" s="52"/>
      <c r="G776" s="52"/>
      <c r="H776" s="52"/>
      <c r="I776" s="5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x14ac:dyDescent="0.2">
      <c r="A777" s="2"/>
      <c r="B777" s="2"/>
      <c r="C777" s="2"/>
      <c r="D777" s="52"/>
      <c r="E777" s="52"/>
      <c r="F777" s="52"/>
      <c r="G777" s="52"/>
      <c r="H777" s="52"/>
      <c r="I777" s="5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x14ac:dyDescent="0.2">
      <c r="A778" s="2"/>
      <c r="B778" s="2"/>
      <c r="C778" s="2"/>
      <c r="D778" s="52"/>
      <c r="E778" s="52"/>
      <c r="F778" s="52"/>
      <c r="G778" s="52"/>
      <c r="H778" s="52"/>
      <c r="I778" s="5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x14ac:dyDescent="0.2">
      <c r="A779" s="2"/>
      <c r="B779" s="2"/>
      <c r="C779" s="2"/>
      <c r="D779" s="52"/>
      <c r="E779" s="52"/>
      <c r="F779" s="52"/>
      <c r="G779" s="52"/>
      <c r="H779" s="52"/>
      <c r="I779" s="5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x14ac:dyDescent="0.2">
      <c r="A780" s="2"/>
      <c r="B780" s="2"/>
      <c r="C780" s="2"/>
      <c r="D780" s="52"/>
      <c r="E780" s="52"/>
      <c r="F780" s="52"/>
      <c r="G780" s="52"/>
      <c r="H780" s="52"/>
      <c r="I780" s="5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x14ac:dyDescent="0.2">
      <c r="A781" s="2"/>
      <c r="B781" s="2"/>
      <c r="C781" s="2"/>
      <c r="D781" s="52"/>
      <c r="E781" s="52"/>
      <c r="F781" s="52"/>
      <c r="G781" s="52"/>
      <c r="H781" s="52"/>
      <c r="I781" s="5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x14ac:dyDescent="0.2">
      <c r="A782" s="2"/>
      <c r="B782" s="2"/>
      <c r="C782" s="2"/>
      <c r="D782" s="52"/>
      <c r="E782" s="52"/>
      <c r="F782" s="52"/>
      <c r="G782" s="52"/>
      <c r="H782" s="52"/>
      <c r="I782" s="5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x14ac:dyDescent="0.2">
      <c r="A783" s="2"/>
      <c r="B783" s="2"/>
      <c r="C783" s="2"/>
      <c r="D783" s="52"/>
      <c r="E783" s="52"/>
      <c r="F783" s="52"/>
      <c r="G783" s="52"/>
      <c r="H783" s="52"/>
      <c r="I783" s="5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x14ac:dyDescent="0.2">
      <c r="A784" s="2"/>
      <c r="B784" s="2"/>
      <c r="C784" s="2"/>
      <c r="D784" s="52"/>
      <c r="E784" s="52"/>
      <c r="F784" s="52"/>
      <c r="G784" s="52"/>
      <c r="H784" s="52"/>
      <c r="I784" s="5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x14ac:dyDescent="0.2">
      <c r="A785" s="2"/>
      <c r="B785" s="2"/>
      <c r="C785" s="2"/>
      <c r="D785" s="52"/>
      <c r="E785" s="52"/>
      <c r="F785" s="52"/>
      <c r="G785" s="52"/>
      <c r="H785" s="52"/>
      <c r="I785" s="5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x14ac:dyDescent="0.2">
      <c r="A786" s="2"/>
      <c r="B786" s="2"/>
      <c r="C786" s="2"/>
      <c r="D786" s="52"/>
      <c r="E786" s="52"/>
      <c r="F786" s="52"/>
      <c r="G786" s="52"/>
      <c r="H786" s="52"/>
      <c r="I786" s="5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x14ac:dyDescent="0.2">
      <c r="A787" s="2"/>
      <c r="B787" s="2"/>
      <c r="C787" s="2"/>
      <c r="D787" s="52"/>
      <c r="E787" s="52"/>
      <c r="F787" s="52"/>
      <c r="G787" s="52"/>
      <c r="H787" s="52"/>
      <c r="I787" s="5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x14ac:dyDescent="0.2">
      <c r="A788" s="2"/>
      <c r="B788" s="2"/>
      <c r="C788" s="2"/>
      <c r="D788" s="52"/>
      <c r="E788" s="52"/>
      <c r="F788" s="52"/>
      <c r="G788" s="52"/>
      <c r="H788" s="52"/>
      <c r="I788" s="5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x14ac:dyDescent="0.2">
      <c r="A789" s="2"/>
      <c r="B789" s="2"/>
      <c r="C789" s="2"/>
      <c r="D789" s="52"/>
      <c r="E789" s="52"/>
      <c r="F789" s="52"/>
      <c r="G789" s="52"/>
      <c r="H789" s="52"/>
      <c r="I789" s="5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x14ac:dyDescent="0.2">
      <c r="A790" s="2"/>
      <c r="B790" s="2"/>
      <c r="C790" s="2"/>
      <c r="D790" s="52"/>
      <c r="E790" s="52"/>
      <c r="F790" s="52"/>
      <c r="G790" s="52"/>
      <c r="H790" s="52"/>
      <c r="I790" s="5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x14ac:dyDescent="0.2">
      <c r="A791" s="2"/>
      <c r="B791" s="2"/>
      <c r="C791" s="2"/>
      <c r="D791" s="52"/>
      <c r="E791" s="52"/>
      <c r="F791" s="52"/>
      <c r="G791" s="52"/>
      <c r="H791" s="52"/>
      <c r="I791" s="5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x14ac:dyDescent="0.2">
      <c r="A792" s="2"/>
      <c r="B792" s="2"/>
      <c r="C792" s="2"/>
      <c r="D792" s="52"/>
      <c r="E792" s="52"/>
      <c r="F792" s="52"/>
      <c r="G792" s="52"/>
      <c r="H792" s="52"/>
      <c r="I792" s="5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x14ac:dyDescent="0.2">
      <c r="A793" s="2"/>
      <c r="B793" s="2"/>
      <c r="C793" s="2"/>
      <c r="D793" s="52"/>
      <c r="E793" s="52"/>
      <c r="F793" s="52"/>
      <c r="G793" s="52"/>
      <c r="H793" s="52"/>
      <c r="I793" s="5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x14ac:dyDescent="0.2">
      <c r="A794" s="2"/>
      <c r="B794" s="2"/>
      <c r="C794" s="2"/>
      <c r="D794" s="52"/>
      <c r="E794" s="52"/>
      <c r="F794" s="52"/>
      <c r="G794" s="52"/>
      <c r="H794" s="52"/>
      <c r="I794" s="5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x14ac:dyDescent="0.2">
      <c r="A795" s="2"/>
      <c r="B795" s="2"/>
      <c r="C795" s="2"/>
      <c r="D795" s="52"/>
      <c r="E795" s="52"/>
      <c r="F795" s="52"/>
      <c r="G795" s="52"/>
      <c r="H795" s="52"/>
      <c r="I795" s="5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x14ac:dyDescent="0.2">
      <c r="A796" s="2"/>
      <c r="B796" s="2"/>
      <c r="C796" s="2"/>
      <c r="D796" s="52"/>
      <c r="E796" s="52"/>
      <c r="F796" s="52"/>
      <c r="G796" s="52"/>
      <c r="H796" s="52"/>
      <c r="I796" s="5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x14ac:dyDescent="0.2">
      <c r="A797" s="2"/>
      <c r="B797" s="2"/>
      <c r="C797" s="2"/>
      <c r="D797" s="52"/>
      <c r="E797" s="52"/>
      <c r="F797" s="52"/>
      <c r="G797" s="52"/>
      <c r="H797" s="52"/>
      <c r="I797" s="5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x14ac:dyDescent="0.2">
      <c r="A798" s="2"/>
      <c r="B798" s="2"/>
      <c r="C798" s="2"/>
      <c r="D798" s="52"/>
      <c r="E798" s="52"/>
      <c r="F798" s="52"/>
      <c r="G798" s="52"/>
      <c r="H798" s="52"/>
      <c r="I798" s="5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x14ac:dyDescent="0.2">
      <c r="A799" s="2"/>
      <c r="B799" s="2"/>
      <c r="C799" s="2"/>
      <c r="D799" s="52"/>
      <c r="E799" s="52"/>
      <c r="F799" s="52"/>
      <c r="G799" s="52"/>
      <c r="H799" s="52"/>
      <c r="I799" s="5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x14ac:dyDescent="0.2">
      <c r="A800" s="2"/>
      <c r="B800" s="2"/>
      <c r="C800" s="2"/>
      <c r="D800" s="52"/>
      <c r="E800" s="52"/>
      <c r="F800" s="52"/>
      <c r="G800" s="52"/>
      <c r="H800" s="52"/>
      <c r="I800" s="5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x14ac:dyDescent="0.2">
      <c r="A801" s="2"/>
      <c r="B801" s="2"/>
      <c r="C801" s="2"/>
      <c r="D801" s="52"/>
      <c r="E801" s="52"/>
      <c r="F801" s="52"/>
      <c r="G801" s="52"/>
      <c r="H801" s="52"/>
      <c r="I801" s="5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x14ac:dyDescent="0.2">
      <c r="A802" s="2"/>
      <c r="B802" s="2"/>
      <c r="C802" s="2"/>
      <c r="D802" s="52"/>
      <c r="E802" s="52"/>
      <c r="F802" s="52"/>
      <c r="G802" s="52"/>
      <c r="H802" s="52"/>
      <c r="I802" s="5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x14ac:dyDescent="0.2">
      <c r="A803" s="2"/>
      <c r="B803" s="2"/>
      <c r="C803" s="2"/>
      <c r="D803" s="52"/>
      <c r="E803" s="52"/>
      <c r="F803" s="52"/>
      <c r="G803" s="52"/>
      <c r="H803" s="52"/>
      <c r="I803" s="5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x14ac:dyDescent="0.2">
      <c r="A804" s="2"/>
      <c r="B804" s="2"/>
      <c r="C804" s="2"/>
      <c r="D804" s="52"/>
      <c r="E804" s="52"/>
      <c r="F804" s="52"/>
      <c r="G804" s="52"/>
      <c r="H804" s="52"/>
      <c r="I804" s="5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x14ac:dyDescent="0.2">
      <c r="A805" s="2"/>
      <c r="B805" s="2"/>
      <c r="C805" s="2"/>
      <c r="D805" s="52"/>
      <c r="E805" s="52"/>
      <c r="F805" s="52"/>
      <c r="G805" s="52"/>
      <c r="H805" s="52"/>
      <c r="I805" s="5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x14ac:dyDescent="0.2">
      <c r="A806" s="2"/>
      <c r="B806" s="2"/>
      <c r="C806" s="2"/>
      <c r="D806" s="52"/>
      <c r="E806" s="52"/>
      <c r="F806" s="52"/>
      <c r="G806" s="52"/>
      <c r="H806" s="52"/>
      <c r="I806" s="5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x14ac:dyDescent="0.2">
      <c r="A807" s="2"/>
      <c r="B807" s="2"/>
      <c r="C807" s="2"/>
      <c r="D807" s="52"/>
      <c r="E807" s="52"/>
      <c r="F807" s="52"/>
      <c r="G807" s="52"/>
      <c r="H807" s="52"/>
      <c r="I807" s="5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x14ac:dyDescent="0.2">
      <c r="A808" s="2"/>
      <c r="B808" s="2"/>
      <c r="C808" s="2"/>
      <c r="D808" s="52"/>
      <c r="E808" s="52"/>
      <c r="F808" s="52"/>
      <c r="G808" s="52"/>
      <c r="H808" s="52"/>
      <c r="I808" s="5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x14ac:dyDescent="0.2">
      <c r="A809" s="2"/>
      <c r="B809" s="2"/>
      <c r="C809" s="2"/>
      <c r="D809" s="52"/>
      <c r="E809" s="52"/>
      <c r="F809" s="52"/>
      <c r="G809" s="52"/>
      <c r="H809" s="52"/>
      <c r="I809" s="5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x14ac:dyDescent="0.2">
      <c r="A810" s="2"/>
      <c r="B810" s="2"/>
      <c r="C810" s="2"/>
      <c r="D810" s="52"/>
      <c r="E810" s="52"/>
      <c r="F810" s="52"/>
      <c r="G810" s="52"/>
      <c r="H810" s="52"/>
      <c r="I810" s="5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x14ac:dyDescent="0.2">
      <c r="A811" s="2"/>
      <c r="B811" s="2"/>
      <c r="C811" s="2"/>
      <c r="D811" s="52"/>
      <c r="E811" s="52"/>
      <c r="F811" s="52"/>
      <c r="G811" s="52"/>
      <c r="H811" s="52"/>
      <c r="I811" s="5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x14ac:dyDescent="0.2">
      <c r="A812" s="2"/>
      <c r="B812" s="2"/>
      <c r="C812" s="2"/>
      <c r="D812" s="52"/>
      <c r="E812" s="52"/>
      <c r="F812" s="52"/>
      <c r="G812" s="52"/>
      <c r="H812" s="52"/>
      <c r="I812" s="5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x14ac:dyDescent="0.2">
      <c r="A813" s="2"/>
      <c r="B813" s="2"/>
      <c r="C813" s="2"/>
      <c r="D813" s="52"/>
      <c r="E813" s="52"/>
      <c r="F813" s="52"/>
      <c r="G813" s="52"/>
      <c r="H813" s="52"/>
      <c r="I813" s="5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x14ac:dyDescent="0.2">
      <c r="A814" s="2"/>
      <c r="B814" s="2"/>
      <c r="C814" s="2"/>
      <c r="D814" s="52"/>
      <c r="E814" s="52"/>
      <c r="F814" s="52"/>
      <c r="G814" s="52"/>
      <c r="H814" s="52"/>
      <c r="I814" s="5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x14ac:dyDescent="0.2">
      <c r="A815" s="2"/>
      <c r="B815" s="2"/>
      <c r="C815" s="2"/>
      <c r="D815" s="52"/>
      <c r="E815" s="52"/>
      <c r="F815" s="52"/>
      <c r="G815" s="52"/>
      <c r="H815" s="52"/>
      <c r="I815" s="5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x14ac:dyDescent="0.2">
      <c r="A816" s="2"/>
      <c r="B816" s="2"/>
      <c r="C816" s="2"/>
      <c r="D816" s="52"/>
      <c r="E816" s="52"/>
      <c r="F816" s="52"/>
      <c r="G816" s="52"/>
      <c r="H816" s="52"/>
      <c r="I816" s="5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4:9" x14ac:dyDescent="0.2">
      <c r="D817" s="46"/>
      <c r="E817" s="46"/>
      <c r="F817" s="46"/>
      <c r="G817" s="46"/>
      <c r="H817" s="46"/>
      <c r="I817" s="46"/>
    </row>
    <row r="818" spans="4:9" x14ac:dyDescent="0.2">
      <c r="D818" s="46"/>
      <c r="E818" s="46"/>
      <c r="F818" s="46"/>
      <c r="G818" s="46"/>
      <c r="H818" s="46"/>
      <c r="I818" s="46"/>
    </row>
    <row r="819" spans="4:9" x14ac:dyDescent="0.2">
      <c r="D819" s="46"/>
      <c r="E819" s="46"/>
      <c r="F819" s="46"/>
      <c r="G819" s="46"/>
      <c r="H819" s="46"/>
      <c r="I819" s="46"/>
    </row>
    <row r="820" spans="4:9" x14ac:dyDescent="0.2">
      <c r="D820" s="46"/>
      <c r="E820" s="46"/>
      <c r="F820" s="46"/>
      <c r="G820" s="46"/>
      <c r="H820" s="46"/>
      <c r="I820" s="46"/>
    </row>
    <row r="821" spans="4:9" x14ac:dyDescent="0.2">
      <c r="D821" s="46"/>
      <c r="E821" s="46"/>
      <c r="F821" s="46"/>
      <c r="G821" s="46"/>
      <c r="H821" s="46"/>
      <c r="I821" s="46"/>
    </row>
    <row r="822" spans="4:9" x14ac:dyDescent="0.2">
      <c r="D822" s="46"/>
      <c r="E822" s="46"/>
      <c r="F822" s="46"/>
      <c r="G822" s="46"/>
      <c r="H822" s="46"/>
      <c r="I822" s="46"/>
    </row>
    <row r="823" spans="4:9" x14ac:dyDescent="0.2">
      <c r="D823" s="46"/>
      <c r="E823" s="46"/>
      <c r="F823" s="46"/>
      <c r="G823" s="46"/>
      <c r="H823" s="46"/>
      <c r="I823" s="46"/>
    </row>
  </sheetData>
  <mergeCells count="2">
    <mergeCell ref="D1:F1"/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</vt:lpstr>
      <vt:lpstr>UTS</vt:lpstr>
      <vt:lpstr>UAS</vt:lpstr>
      <vt:lpstr>Rekap_Tugas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STEI</dc:creator>
  <cp:lastModifiedBy>STEI</cp:lastModifiedBy>
  <dcterms:created xsi:type="dcterms:W3CDTF">2023-06-04T03:45:26Z</dcterms:created>
  <dcterms:modified xsi:type="dcterms:W3CDTF">2023-06-05T08:29:28Z</dcterms:modified>
</cp:coreProperties>
</file>